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t_server2016\disk1\SAT_server2016（Ｕ：共有）\★各本部(総務・競技・教育)\競技本部\2017ー\2016-17アルペンポイントリストNO.3\"/>
    </mc:Choice>
  </mc:AlternateContent>
  <bookViews>
    <workbookView xWindow="0" yWindow="0" windowWidth="20250" windowHeight="10890"/>
  </bookViews>
  <sheets>
    <sheet name="男子ＧＳ" sheetId="2" r:id="rId1"/>
  </sheets>
  <definedNames>
    <definedName name="_xlnm._FilterDatabase" localSheetId="0" hidden="1">男子ＧＳ!$A$2:$AO$1296</definedName>
  </definedNames>
  <calcPr calcId="171027"/>
</workbook>
</file>

<file path=xl/calcChain.xml><?xml version="1.0" encoding="utf-8"?>
<calcChain xmlns="http://schemas.openxmlformats.org/spreadsheetml/2006/main">
  <c r="U1296" i="2" l="1"/>
  <c r="E1296" i="2"/>
  <c r="AB1295" i="2"/>
  <c r="E1295" i="2"/>
  <c r="AM1294" i="2"/>
  <c r="AB1294" i="2"/>
  <c r="E1294" i="2"/>
  <c r="H1293" i="2"/>
  <c r="E1293" i="2"/>
  <c r="AB1292" i="2"/>
  <c r="E1292" i="2"/>
  <c r="AB1291" i="2"/>
  <c r="E1291" i="2"/>
  <c r="AB1290" i="2"/>
  <c r="E1290" i="2"/>
  <c r="AB1289" i="2"/>
  <c r="E1289" i="2"/>
  <c r="AB1288" i="2"/>
  <c r="E1288" i="2"/>
  <c r="AB1287" i="2"/>
  <c r="E1287" i="2"/>
  <c r="Y1286" i="2"/>
  <c r="H1286" i="2"/>
  <c r="E1286" i="2"/>
  <c r="AB1285" i="2"/>
  <c r="H1285" i="2"/>
  <c r="E1285" i="2"/>
  <c r="AB1284" i="2"/>
  <c r="E1284" i="2"/>
  <c r="AM1283" i="2"/>
  <c r="E1283" i="2"/>
  <c r="AB1282" i="2"/>
  <c r="E1282" i="2"/>
  <c r="AB1281" i="2"/>
  <c r="E1281" i="2"/>
  <c r="AB1280" i="2"/>
  <c r="H1280" i="2"/>
  <c r="E1280" i="2"/>
  <c r="AM1279" i="2"/>
  <c r="E1279" i="2"/>
  <c r="AB1278" i="2"/>
  <c r="E1278" i="2"/>
  <c r="AM1277" i="2"/>
  <c r="AB1277" i="2"/>
  <c r="E1277" i="2"/>
  <c r="AE1276" i="2"/>
  <c r="E1276" i="2"/>
  <c r="H1275" i="2"/>
  <c r="E1275" i="2"/>
  <c r="AB1274" i="2"/>
  <c r="E1274" i="2"/>
  <c r="AB1273" i="2"/>
  <c r="E1273" i="2"/>
  <c r="AB1272" i="2"/>
  <c r="E1272" i="2"/>
  <c r="AB1271" i="2"/>
  <c r="E1271" i="2"/>
  <c r="AM1270" i="2"/>
  <c r="AB1270" i="2"/>
  <c r="E1270" i="2"/>
  <c r="AB1269" i="2"/>
  <c r="E1269" i="2"/>
  <c r="AM1268" i="2"/>
  <c r="AB1268" i="2"/>
  <c r="E1268" i="2"/>
  <c r="AB1267" i="2"/>
  <c r="Y1267" i="2"/>
  <c r="E1267" i="2"/>
  <c r="AM1266" i="2"/>
  <c r="AB1266" i="2"/>
  <c r="E1266" i="2"/>
  <c r="AM1265" i="2"/>
  <c r="AB1265" i="2"/>
  <c r="E1265" i="2"/>
  <c r="AB1264" i="2"/>
  <c r="E1264" i="2"/>
  <c r="AM1263" i="2"/>
  <c r="E1263" i="2"/>
  <c r="H1262" i="2"/>
  <c r="E1262" i="2"/>
  <c r="P1261" i="2"/>
  <c r="N1261" i="2"/>
  <c r="E1261" i="2"/>
  <c r="AB1260" i="2"/>
  <c r="E1260" i="2"/>
  <c r="AB1259" i="2"/>
  <c r="H1259" i="2"/>
  <c r="E1259" i="2"/>
  <c r="H1258" i="2"/>
  <c r="E1258" i="2"/>
  <c r="U1257" i="2"/>
  <c r="E1257" i="2"/>
  <c r="AB1256" i="2"/>
  <c r="E1256" i="2"/>
  <c r="AB1255" i="2"/>
  <c r="E1255" i="2"/>
  <c r="AM1254" i="2"/>
  <c r="AB1254" i="2"/>
  <c r="E1254" i="2"/>
  <c r="AB1253" i="2"/>
  <c r="Y1253" i="2"/>
  <c r="H1253" i="2"/>
  <c r="E1253" i="2"/>
  <c r="AN1252" i="2"/>
  <c r="E1252" i="2"/>
  <c r="AB1251" i="2"/>
  <c r="E1251" i="2"/>
  <c r="AN1250" i="2"/>
  <c r="AE1250" i="2"/>
  <c r="E1250" i="2"/>
  <c r="AN1249" i="2"/>
  <c r="E1249" i="2"/>
  <c r="Q1248" i="2"/>
  <c r="H1248" i="2"/>
  <c r="E1248" i="2"/>
  <c r="H1247" i="2"/>
  <c r="E1247" i="2"/>
  <c r="AB1246" i="2"/>
  <c r="E1246" i="2"/>
  <c r="AN1245" i="2"/>
  <c r="AE1245" i="2"/>
  <c r="E1245" i="2"/>
  <c r="H1244" i="2"/>
  <c r="E1244" i="2"/>
  <c r="X1243" i="2"/>
  <c r="E1243" i="2"/>
  <c r="AB1242" i="2"/>
  <c r="E1242" i="2"/>
  <c r="H1241" i="2"/>
  <c r="E1241" i="2"/>
  <c r="H1240" i="2"/>
  <c r="E1240" i="2"/>
  <c r="AN1239" i="2"/>
  <c r="Q1239" i="2"/>
  <c r="E1239" i="2"/>
  <c r="AM1238" i="2"/>
  <c r="AB1238" i="2"/>
  <c r="E1238" i="2"/>
  <c r="Q1237" i="2"/>
  <c r="H1237" i="2"/>
  <c r="E1237" i="2"/>
  <c r="H1236" i="2"/>
  <c r="E1236" i="2"/>
  <c r="AE1235" i="2"/>
  <c r="Q1235" i="2"/>
  <c r="E1235" i="2"/>
  <c r="AB1234" i="2"/>
  <c r="H1234" i="2"/>
  <c r="E1234" i="2"/>
  <c r="AB1233" i="2"/>
  <c r="Y1233" i="2"/>
  <c r="E1233" i="2"/>
  <c r="AB1232" i="2"/>
  <c r="E1232" i="2"/>
  <c r="AE1231" i="2"/>
  <c r="Q1231" i="2"/>
  <c r="E1231" i="2"/>
  <c r="AB1230" i="2"/>
  <c r="H1230" i="2"/>
  <c r="E1230" i="2"/>
  <c r="H1229" i="2"/>
  <c r="E1229" i="2"/>
  <c r="AM1228" i="2"/>
  <c r="AB1228" i="2"/>
  <c r="E1228" i="2"/>
  <c r="AB1227" i="2"/>
  <c r="H1227" i="2"/>
  <c r="E1227" i="2"/>
  <c r="AM1226" i="2"/>
  <c r="E1226" i="2"/>
  <c r="H1225" i="2"/>
  <c r="E1225" i="2"/>
  <c r="W1224" i="2"/>
  <c r="U1224" i="2"/>
  <c r="E1224" i="2"/>
  <c r="H1223" i="2"/>
  <c r="E1223" i="2"/>
  <c r="Q1222" i="2"/>
  <c r="E1222" i="2"/>
  <c r="AB1221" i="2"/>
  <c r="H1221" i="2"/>
  <c r="E1221" i="2"/>
  <c r="AB1220" i="2"/>
  <c r="Y1220" i="2"/>
  <c r="H1220" i="2"/>
  <c r="E1220" i="2"/>
  <c r="AB1219" i="2"/>
  <c r="E1219" i="2"/>
  <c r="Y1218" i="2"/>
  <c r="E1218" i="2"/>
  <c r="Y1217" i="2"/>
  <c r="E1217" i="2"/>
  <c r="Q1216" i="2"/>
  <c r="H1216" i="2"/>
  <c r="E1216" i="2"/>
  <c r="W1215" i="2"/>
  <c r="U1215" i="2"/>
  <c r="H1215" i="2"/>
  <c r="E1215" i="2"/>
  <c r="AM1214" i="2"/>
  <c r="E1214" i="2"/>
  <c r="AB1213" i="2"/>
  <c r="H1213" i="2"/>
  <c r="E1213" i="2"/>
  <c r="AB1212" i="2"/>
  <c r="E1212" i="2"/>
  <c r="H1211" i="2"/>
  <c r="E1211" i="2"/>
  <c r="H1210" i="2"/>
  <c r="E1210" i="2"/>
  <c r="AB1209" i="2"/>
  <c r="H1209" i="2"/>
  <c r="E1209" i="2"/>
  <c r="Q1208" i="2"/>
  <c r="E1208" i="2"/>
  <c r="P1207" i="2"/>
  <c r="N1207" i="2"/>
  <c r="E1207" i="2"/>
  <c r="AE1206" i="2"/>
  <c r="Q1206" i="2"/>
  <c r="H1206" i="2"/>
  <c r="E1206" i="2"/>
  <c r="H1205" i="2"/>
  <c r="E1205" i="2"/>
  <c r="U1204" i="2"/>
  <c r="E1204" i="2"/>
  <c r="X1203" i="2"/>
  <c r="E1203" i="2"/>
  <c r="Q1202" i="2"/>
  <c r="H1202" i="2"/>
  <c r="E1202" i="2"/>
  <c r="Q1201" i="2"/>
  <c r="E1201" i="2"/>
  <c r="H1200" i="2"/>
  <c r="E1200" i="2"/>
  <c r="P1199" i="2"/>
  <c r="H1199" i="2"/>
  <c r="E1199" i="2"/>
  <c r="AM1198" i="2"/>
  <c r="AB1198" i="2"/>
  <c r="H1198" i="2"/>
  <c r="E1198" i="2"/>
  <c r="H1197" i="2"/>
  <c r="E1197" i="2"/>
  <c r="AN1196" i="2"/>
  <c r="AL1196" i="2"/>
  <c r="Q1196" i="2"/>
  <c r="E1196" i="2"/>
  <c r="W1195" i="2"/>
  <c r="E1195" i="2"/>
  <c r="H1194" i="2"/>
  <c r="E1194" i="2"/>
  <c r="AE1193" i="2"/>
  <c r="E1193" i="2"/>
  <c r="Q1192" i="2"/>
  <c r="H1192" i="2"/>
  <c r="E1192" i="2"/>
  <c r="AE1191" i="2"/>
  <c r="E1191" i="2"/>
  <c r="AM1190" i="2"/>
  <c r="E1190" i="2"/>
  <c r="H1189" i="2"/>
  <c r="E1189" i="2"/>
  <c r="H1188" i="2"/>
  <c r="E1188" i="2"/>
  <c r="AM1187" i="2"/>
  <c r="AB1187" i="2"/>
  <c r="E1187" i="2"/>
  <c r="H1186" i="2"/>
  <c r="E1186" i="2"/>
  <c r="AB1185" i="2"/>
  <c r="E1185" i="2"/>
  <c r="W1184" i="2"/>
  <c r="U1184" i="2"/>
  <c r="E1184" i="2"/>
  <c r="AH1183" i="2"/>
  <c r="AG1183" i="2"/>
  <c r="H1183" i="2"/>
  <c r="E1183" i="2"/>
  <c r="H1182" i="2"/>
  <c r="E1182" i="2"/>
  <c r="AB1181" i="2"/>
  <c r="E1181" i="2"/>
  <c r="H1180" i="2"/>
  <c r="E1180" i="2"/>
  <c r="Q1179" i="2"/>
  <c r="H1179" i="2"/>
  <c r="E1179" i="2"/>
  <c r="AB1178" i="2"/>
  <c r="E1178" i="2"/>
  <c r="H1177" i="2"/>
  <c r="E1177" i="2"/>
  <c r="Q1176" i="2"/>
  <c r="H1176" i="2"/>
  <c r="E1176" i="2"/>
  <c r="AB1175" i="2"/>
  <c r="E1175" i="2"/>
  <c r="AE1174" i="2"/>
  <c r="Q1174" i="2"/>
  <c r="H1174" i="2"/>
  <c r="E1174" i="2"/>
  <c r="AN1173" i="2"/>
  <c r="E1173" i="2"/>
  <c r="H1172" i="2"/>
  <c r="E1172" i="2"/>
  <c r="AE1171" i="2"/>
  <c r="Q1171" i="2"/>
  <c r="H1171" i="2"/>
  <c r="E1171" i="2"/>
  <c r="U1170" i="2"/>
  <c r="E1170" i="2"/>
  <c r="AB1169" i="2"/>
  <c r="Y1169" i="2"/>
  <c r="H1169" i="2"/>
  <c r="E1169" i="2"/>
  <c r="W1168" i="2"/>
  <c r="E1168" i="2"/>
  <c r="AB1167" i="2"/>
  <c r="H1167" i="2"/>
  <c r="E1167" i="2"/>
  <c r="AB1166" i="2"/>
  <c r="E1166" i="2"/>
  <c r="AN1165" i="2"/>
  <c r="E1165" i="2"/>
  <c r="W1164" i="2"/>
  <c r="U1164" i="2"/>
  <c r="H1164" i="2"/>
  <c r="E1164" i="2"/>
  <c r="H1163" i="2"/>
  <c r="E1163" i="2"/>
  <c r="AB1162" i="2"/>
  <c r="H1162" i="2"/>
  <c r="E1162" i="2"/>
  <c r="AN1161" i="2"/>
  <c r="AE1161" i="2"/>
  <c r="Q1161" i="2"/>
  <c r="H1161" i="2"/>
  <c r="E1161" i="2"/>
  <c r="H1160" i="2"/>
  <c r="E1160" i="2"/>
  <c r="AH1159" i="2"/>
  <c r="E1159" i="2"/>
  <c r="W1158" i="2"/>
  <c r="U1158" i="2"/>
  <c r="E1158" i="2"/>
  <c r="W1157" i="2"/>
  <c r="U1157" i="2"/>
  <c r="E1157" i="2"/>
  <c r="AM1156" i="2"/>
  <c r="AB1156" i="2"/>
  <c r="H1156" i="2"/>
  <c r="E1156" i="2"/>
  <c r="AM1155" i="2"/>
  <c r="AB1155" i="2"/>
  <c r="H1155" i="2"/>
  <c r="E1155" i="2"/>
  <c r="AB1154" i="2"/>
  <c r="H1154" i="2"/>
  <c r="E1154" i="2"/>
  <c r="AN1153" i="2"/>
  <c r="AB1153" i="2"/>
  <c r="H1153" i="2"/>
  <c r="E1153" i="2"/>
  <c r="AB1152" i="2"/>
  <c r="H1152" i="2"/>
  <c r="E1152" i="2"/>
  <c r="H1151" i="2"/>
  <c r="E1151" i="2"/>
  <c r="U1150" i="2"/>
  <c r="H1150" i="2"/>
  <c r="E1150" i="2"/>
  <c r="AM1149" i="2"/>
  <c r="AB1149" i="2"/>
  <c r="H1149" i="2"/>
  <c r="E1149" i="2"/>
  <c r="H1148" i="2"/>
  <c r="E1148" i="2"/>
  <c r="H1147" i="2"/>
  <c r="E1147" i="2"/>
  <c r="H1146" i="2"/>
  <c r="E1146" i="2"/>
  <c r="W1145" i="2"/>
  <c r="U1145" i="2"/>
  <c r="E1145" i="2"/>
  <c r="AM1144" i="2"/>
  <c r="AB1144" i="2"/>
  <c r="H1144" i="2"/>
  <c r="E1144" i="2"/>
  <c r="AN1143" i="2"/>
  <c r="Q1143" i="2"/>
  <c r="E1143" i="2"/>
  <c r="AB1142" i="2"/>
  <c r="H1142" i="2"/>
  <c r="E1142" i="2"/>
  <c r="AE1141" i="2"/>
  <c r="Q1141" i="2"/>
  <c r="H1141" i="2"/>
  <c r="E1141" i="2"/>
  <c r="H1140" i="2"/>
  <c r="E1140" i="2"/>
  <c r="AB1139" i="2"/>
  <c r="H1139" i="2"/>
  <c r="E1139" i="2"/>
  <c r="H1138" i="2"/>
  <c r="E1138" i="2"/>
  <c r="H1137" i="2"/>
  <c r="E1137" i="2"/>
  <c r="H1136" i="2"/>
  <c r="E1136" i="2"/>
  <c r="H1135" i="2"/>
  <c r="E1135" i="2"/>
  <c r="AN1134" i="2"/>
  <c r="AE1134" i="2"/>
  <c r="Q1134" i="2"/>
  <c r="E1134" i="2"/>
  <c r="AN1133" i="2"/>
  <c r="Q1133" i="2"/>
  <c r="H1133" i="2"/>
  <c r="E1133" i="2"/>
  <c r="AM1132" i="2"/>
  <c r="AB1132" i="2"/>
  <c r="E1132" i="2"/>
  <c r="AM1131" i="2"/>
  <c r="AB1131" i="2"/>
  <c r="H1131" i="2"/>
  <c r="E1131" i="2"/>
  <c r="H1130" i="2"/>
  <c r="E1130" i="2"/>
  <c r="AN1129" i="2"/>
  <c r="Q1129" i="2"/>
  <c r="E1129" i="2"/>
  <c r="AB1128" i="2"/>
  <c r="H1128" i="2"/>
  <c r="E1128" i="2"/>
  <c r="T1127" i="2"/>
  <c r="H1127" i="2"/>
  <c r="E1127" i="2"/>
  <c r="W1126" i="2"/>
  <c r="H1126" i="2"/>
  <c r="E1126" i="2"/>
  <c r="AB1125" i="2"/>
  <c r="Y1125" i="2"/>
  <c r="H1125" i="2"/>
  <c r="E1125" i="2"/>
  <c r="AN1124" i="2"/>
  <c r="E1124" i="2"/>
  <c r="Q1123" i="2"/>
  <c r="E1123" i="2"/>
  <c r="AB1122" i="2"/>
  <c r="Y1122" i="2"/>
  <c r="H1122" i="2"/>
  <c r="E1122" i="2"/>
  <c r="AN1121" i="2"/>
  <c r="Q1121" i="2"/>
  <c r="E1121" i="2"/>
  <c r="AE1120" i="2"/>
  <c r="Q1120" i="2"/>
  <c r="E1120" i="2"/>
  <c r="Q1119" i="2"/>
  <c r="H1119" i="2"/>
  <c r="E1119" i="2"/>
  <c r="W1118" i="2"/>
  <c r="U1118" i="2"/>
  <c r="H1118" i="2"/>
  <c r="E1118" i="2"/>
  <c r="Q1117" i="2"/>
  <c r="E1117" i="2"/>
  <c r="W1116" i="2"/>
  <c r="U1116" i="2"/>
  <c r="H1116" i="2"/>
  <c r="E1116" i="2"/>
  <c r="AN1115" i="2"/>
  <c r="AE1115" i="2"/>
  <c r="E1115" i="2"/>
  <c r="Q1114" i="2"/>
  <c r="H1114" i="2"/>
  <c r="E1114" i="2"/>
  <c r="U1113" i="2"/>
  <c r="E1113" i="2"/>
  <c r="AM1112" i="2"/>
  <c r="AB1112" i="2"/>
  <c r="E1112" i="2"/>
  <c r="U1111" i="2"/>
  <c r="E1111" i="2"/>
  <c r="AN1110" i="2"/>
  <c r="Q1110" i="2"/>
  <c r="H1110" i="2"/>
  <c r="E1110" i="2"/>
  <c r="Q1109" i="2"/>
  <c r="H1109" i="2"/>
  <c r="E1109" i="2"/>
  <c r="AN1108" i="2"/>
  <c r="E1108" i="2"/>
  <c r="H1107" i="2"/>
  <c r="E1107" i="2"/>
  <c r="H1106" i="2"/>
  <c r="E1106" i="2"/>
  <c r="AB1105" i="2"/>
  <c r="H1105" i="2"/>
  <c r="E1105" i="2"/>
  <c r="AB1104" i="2"/>
  <c r="E1104" i="2"/>
  <c r="U1103" i="2"/>
  <c r="H1103" i="2"/>
  <c r="E1103" i="2"/>
  <c r="H1102" i="2"/>
  <c r="E1102" i="2"/>
  <c r="P1101" i="2"/>
  <c r="N1101" i="2"/>
  <c r="H1101" i="2"/>
  <c r="E1101" i="2"/>
  <c r="AM1100" i="2"/>
  <c r="AB1100" i="2"/>
  <c r="E1100" i="2"/>
  <c r="AH1099" i="2"/>
  <c r="H1099" i="2"/>
  <c r="E1099" i="2"/>
  <c r="AB1098" i="2"/>
  <c r="E1098" i="2"/>
  <c r="P1097" i="2"/>
  <c r="N1097" i="2"/>
  <c r="E1097" i="2"/>
  <c r="W1096" i="2"/>
  <c r="U1096" i="2"/>
  <c r="E1096" i="2"/>
  <c r="Q1095" i="2"/>
  <c r="H1095" i="2"/>
  <c r="E1095" i="2"/>
  <c r="AJ1094" i="2"/>
  <c r="E1094" i="2"/>
  <c r="AN1093" i="2"/>
  <c r="AL1093" i="2"/>
  <c r="AE1093" i="2"/>
  <c r="Q1093" i="2"/>
  <c r="E1093" i="2"/>
  <c r="AE1092" i="2"/>
  <c r="H1092" i="2"/>
  <c r="E1092" i="2"/>
  <c r="H1091" i="2"/>
  <c r="E1091" i="2"/>
  <c r="P1090" i="2"/>
  <c r="H1090" i="2"/>
  <c r="E1090" i="2"/>
  <c r="W1089" i="2"/>
  <c r="U1089" i="2"/>
  <c r="E1089" i="2"/>
  <c r="X1088" i="2"/>
  <c r="U1088" i="2"/>
  <c r="E1088" i="2"/>
  <c r="AM1087" i="2"/>
  <c r="AB1087" i="2"/>
  <c r="H1087" i="2"/>
  <c r="E1087" i="2"/>
  <c r="AB1086" i="2"/>
  <c r="E1086" i="2"/>
  <c r="AN1085" i="2"/>
  <c r="E1085" i="2"/>
  <c r="AN1084" i="2"/>
  <c r="AM1084" i="2"/>
  <c r="AB1084" i="2"/>
  <c r="H1084" i="2"/>
  <c r="E1084" i="2"/>
  <c r="H1083" i="2"/>
  <c r="E1083" i="2"/>
  <c r="AM1082" i="2"/>
  <c r="AB1082" i="2"/>
  <c r="H1082" i="2"/>
  <c r="E1082" i="2"/>
  <c r="AE1081" i="2"/>
  <c r="Q1081" i="2"/>
  <c r="E1081" i="2"/>
  <c r="H1080" i="2"/>
  <c r="E1080" i="2"/>
  <c r="H1079" i="2"/>
  <c r="E1079" i="2"/>
  <c r="AM1078" i="2"/>
  <c r="AB1078" i="2"/>
  <c r="H1078" i="2"/>
  <c r="E1078" i="2"/>
  <c r="AK1077" i="2"/>
  <c r="E1077" i="2"/>
  <c r="H1076" i="2"/>
  <c r="E1076" i="2"/>
  <c r="U1075" i="2"/>
  <c r="E1075" i="2"/>
  <c r="AA1074" i="2"/>
  <c r="E1074" i="2"/>
  <c r="AL1073" i="2"/>
  <c r="Q1073" i="2"/>
  <c r="H1073" i="2"/>
  <c r="E1073" i="2"/>
  <c r="AN1072" i="2"/>
  <c r="AB1072" i="2"/>
  <c r="H1072" i="2"/>
  <c r="E1072" i="2"/>
  <c r="Q1071" i="2"/>
  <c r="E1071" i="2"/>
  <c r="H1070" i="2"/>
  <c r="E1070" i="2"/>
  <c r="AB1069" i="2"/>
  <c r="E1069" i="2"/>
  <c r="X1068" i="2"/>
  <c r="U1068" i="2"/>
  <c r="H1068" i="2"/>
  <c r="E1068" i="2"/>
  <c r="AN1067" i="2"/>
  <c r="Q1067" i="2"/>
  <c r="H1067" i="2"/>
  <c r="E1067" i="2"/>
  <c r="AN1066" i="2"/>
  <c r="Q1066" i="2"/>
  <c r="H1066" i="2"/>
  <c r="E1066" i="2"/>
  <c r="AN1065" i="2"/>
  <c r="Q1065" i="2"/>
  <c r="H1065" i="2"/>
  <c r="E1065" i="2"/>
  <c r="AN1064" i="2"/>
  <c r="Q1064" i="2"/>
  <c r="E1064" i="2"/>
  <c r="AL1063" i="2"/>
  <c r="Q1063" i="2"/>
  <c r="H1063" i="2"/>
  <c r="E1063" i="2"/>
  <c r="AB1062" i="2"/>
  <c r="H1062" i="2"/>
  <c r="E1062" i="2"/>
  <c r="H1061" i="2"/>
  <c r="E1061" i="2"/>
  <c r="P1060" i="2"/>
  <c r="N1060" i="2"/>
  <c r="H1060" i="2"/>
  <c r="E1060" i="2"/>
  <c r="AM1059" i="2"/>
  <c r="AB1059" i="2"/>
  <c r="H1059" i="2"/>
  <c r="E1059" i="2"/>
  <c r="AI1058" i="2"/>
  <c r="AC1058" i="2"/>
  <c r="S1058" i="2"/>
  <c r="H1058" i="2"/>
  <c r="E1058" i="2"/>
  <c r="AE1057" i="2"/>
  <c r="Q1057" i="2"/>
  <c r="E1057" i="2"/>
  <c r="H1056" i="2"/>
  <c r="E1056" i="2"/>
  <c r="AE1055" i="2"/>
  <c r="Q1055" i="2"/>
  <c r="H1055" i="2"/>
  <c r="E1055" i="2"/>
  <c r="X1054" i="2"/>
  <c r="H1054" i="2"/>
  <c r="E1054" i="2"/>
  <c r="H1053" i="2"/>
  <c r="E1053" i="2"/>
  <c r="H1052" i="2"/>
  <c r="E1052" i="2"/>
  <c r="AN1051" i="2"/>
  <c r="Q1051" i="2"/>
  <c r="H1051" i="2"/>
  <c r="E1051" i="2"/>
  <c r="S1050" i="2"/>
  <c r="H1050" i="2"/>
  <c r="E1050" i="2"/>
  <c r="T1049" i="2"/>
  <c r="H1049" i="2"/>
  <c r="E1049" i="2"/>
  <c r="Q1048" i="2"/>
  <c r="H1048" i="2"/>
  <c r="E1048" i="2"/>
  <c r="H1047" i="2"/>
  <c r="E1047" i="2"/>
  <c r="AN1046" i="2"/>
  <c r="AE1046" i="2"/>
  <c r="E1046" i="2"/>
  <c r="Q1045" i="2"/>
  <c r="H1045" i="2"/>
  <c r="E1045" i="2"/>
  <c r="AA1044" i="2"/>
  <c r="E1044" i="2"/>
  <c r="AK1043" i="2"/>
  <c r="P1043" i="2"/>
  <c r="H1043" i="2"/>
  <c r="E1043" i="2"/>
  <c r="AN1042" i="2"/>
  <c r="AB1042" i="2"/>
  <c r="H1042" i="2"/>
  <c r="E1042" i="2"/>
  <c r="H1041" i="2"/>
  <c r="E1041" i="2"/>
  <c r="AN1040" i="2"/>
  <c r="AB1040" i="2"/>
  <c r="H1040" i="2"/>
  <c r="E1040" i="2"/>
  <c r="AN1039" i="2"/>
  <c r="AB1039" i="2"/>
  <c r="H1039" i="2"/>
  <c r="E1039" i="2"/>
  <c r="AB1038" i="2"/>
  <c r="H1038" i="2"/>
  <c r="E1038" i="2"/>
  <c r="T1037" i="2"/>
  <c r="P1037" i="2"/>
  <c r="N1037" i="2"/>
  <c r="H1037" i="2"/>
  <c r="E1037" i="2"/>
  <c r="AA1036" i="2"/>
  <c r="H1036" i="2"/>
  <c r="E1036" i="2"/>
  <c r="AB1035" i="2"/>
  <c r="H1035" i="2"/>
  <c r="E1035" i="2"/>
  <c r="W1034" i="2"/>
  <c r="U1034" i="2"/>
  <c r="E1034" i="2"/>
  <c r="AE1033" i="2"/>
  <c r="Q1033" i="2"/>
  <c r="H1033" i="2"/>
  <c r="E1033" i="2"/>
  <c r="U1032" i="2"/>
  <c r="H1032" i="2"/>
  <c r="E1032" i="2"/>
  <c r="Q1031" i="2"/>
  <c r="H1031" i="2"/>
  <c r="E1031" i="2"/>
  <c r="AN1030" i="2"/>
  <c r="AE1030" i="2"/>
  <c r="Q1030" i="2"/>
  <c r="E1030" i="2"/>
  <c r="AI1029" i="2"/>
  <c r="E1029" i="2"/>
  <c r="AA1028" i="2"/>
  <c r="H1028" i="2"/>
  <c r="E1028" i="2"/>
  <c r="W1027" i="2"/>
  <c r="U1027" i="2"/>
  <c r="E1027" i="2"/>
  <c r="H1026" i="2"/>
  <c r="E1026" i="2"/>
  <c r="AN1025" i="2"/>
  <c r="E1025" i="2"/>
  <c r="P1024" i="2"/>
  <c r="N1024" i="2"/>
  <c r="E1024" i="2"/>
  <c r="P1023" i="2"/>
  <c r="N1023" i="2"/>
  <c r="H1023" i="2"/>
  <c r="E1023" i="2"/>
  <c r="O1022" i="2"/>
  <c r="E1022" i="2"/>
  <c r="H1021" i="2"/>
  <c r="E1021" i="2"/>
  <c r="W1020" i="2"/>
  <c r="U1020" i="2"/>
  <c r="H1020" i="2"/>
  <c r="E1020" i="2"/>
  <c r="AC1019" i="2"/>
  <c r="L1019" i="2"/>
  <c r="H1019" i="2"/>
  <c r="E1019" i="2"/>
  <c r="R1018" i="2"/>
  <c r="Q1018" i="2"/>
  <c r="H1018" i="2"/>
  <c r="E1018" i="2"/>
  <c r="H1017" i="2"/>
  <c r="E1017" i="2"/>
  <c r="AM1016" i="2"/>
  <c r="AB1016" i="2"/>
  <c r="H1016" i="2"/>
  <c r="E1016" i="2"/>
  <c r="K1015" i="2"/>
  <c r="I1015" i="2"/>
  <c r="E1015" i="2"/>
  <c r="H1014" i="2"/>
  <c r="E1014" i="2"/>
  <c r="AN1013" i="2"/>
  <c r="Q1013" i="2"/>
  <c r="H1013" i="2"/>
  <c r="E1013" i="2"/>
  <c r="AN1012" i="2"/>
  <c r="AE1012" i="2"/>
  <c r="Q1012" i="2"/>
  <c r="E1012" i="2"/>
  <c r="AL1011" i="2"/>
  <c r="AH1011" i="2"/>
  <c r="H1011" i="2"/>
  <c r="E1011" i="2"/>
  <c r="H1010" i="2"/>
  <c r="E1010" i="2"/>
  <c r="AE1009" i="2"/>
  <c r="Q1009" i="2"/>
  <c r="H1009" i="2"/>
  <c r="E1009" i="2"/>
  <c r="T1008" i="2"/>
  <c r="H1008" i="2"/>
  <c r="E1008" i="2"/>
  <c r="P1007" i="2"/>
  <c r="N1007" i="2"/>
  <c r="H1007" i="2"/>
  <c r="E1007" i="2"/>
  <c r="AB1006" i="2"/>
  <c r="E1006" i="2"/>
  <c r="AD1005" i="2"/>
  <c r="AC1005" i="2"/>
  <c r="E1005" i="2"/>
  <c r="H1004" i="2"/>
  <c r="E1004" i="2"/>
  <c r="AN1003" i="2"/>
  <c r="AE1003" i="2"/>
  <c r="E1003" i="2"/>
  <c r="AB1002" i="2"/>
  <c r="H1002" i="2"/>
  <c r="E1002" i="2"/>
  <c r="T1001" i="2"/>
  <c r="P1001" i="2"/>
  <c r="N1001" i="2"/>
  <c r="H1001" i="2"/>
  <c r="E1001" i="2"/>
  <c r="AN1000" i="2"/>
  <c r="AB1000" i="2"/>
  <c r="H1000" i="2"/>
  <c r="E1000" i="2"/>
  <c r="AE999" i="2"/>
  <c r="Q999" i="2"/>
  <c r="H999" i="2"/>
  <c r="E999" i="2"/>
  <c r="Q998" i="2"/>
  <c r="H998" i="2"/>
  <c r="E998" i="2"/>
  <c r="AN997" i="2"/>
  <c r="E997" i="2"/>
  <c r="H996" i="2"/>
  <c r="E996" i="2"/>
  <c r="AH995" i="2"/>
  <c r="AG995" i="2"/>
  <c r="T995" i="2"/>
  <c r="H995" i="2"/>
  <c r="E995" i="2"/>
  <c r="AN994" i="2"/>
  <c r="AB994" i="2"/>
  <c r="H994" i="2"/>
  <c r="E994" i="2"/>
  <c r="H993" i="2"/>
  <c r="E993" i="2"/>
  <c r="AN992" i="2"/>
  <c r="E992" i="2"/>
  <c r="AF991" i="2"/>
  <c r="AE991" i="2"/>
  <c r="H991" i="2"/>
  <c r="E991" i="2"/>
  <c r="AM990" i="2"/>
  <c r="AH990" i="2"/>
  <c r="U990" i="2"/>
  <c r="H990" i="2"/>
  <c r="E990" i="2"/>
  <c r="AN989" i="2"/>
  <c r="AE989" i="2"/>
  <c r="Q989" i="2"/>
  <c r="E989" i="2"/>
  <c r="T988" i="2"/>
  <c r="P988" i="2"/>
  <c r="E988" i="2"/>
  <c r="H987" i="2"/>
  <c r="E987" i="2"/>
  <c r="H986" i="2"/>
  <c r="E986" i="2"/>
  <c r="X985" i="2"/>
  <c r="U985" i="2"/>
  <c r="E985" i="2"/>
  <c r="H984" i="2"/>
  <c r="E984" i="2"/>
  <c r="AA983" i="2"/>
  <c r="E983" i="2"/>
  <c r="U982" i="2"/>
  <c r="H982" i="2"/>
  <c r="E982" i="2"/>
  <c r="R981" i="2"/>
  <c r="Q981" i="2"/>
  <c r="H981" i="2"/>
  <c r="E981" i="2"/>
  <c r="H980" i="2"/>
  <c r="E980" i="2"/>
  <c r="W979" i="2"/>
  <c r="U979" i="2"/>
  <c r="H979" i="2"/>
  <c r="E979" i="2"/>
  <c r="AL978" i="2"/>
  <c r="AE978" i="2"/>
  <c r="Q978" i="2"/>
  <c r="H978" i="2"/>
  <c r="E978" i="2"/>
  <c r="AK977" i="2"/>
  <c r="H977" i="2"/>
  <c r="E977" i="2"/>
  <c r="H976" i="2"/>
  <c r="E976" i="2"/>
  <c r="AE975" i="2"/>
  <c r="Q975" i="2"/>
  <c r="H975" i="2"/>
  <c r="E975" i="2"/>
  <c r="X974" i="2"/>
  <c r="H974" i="2"/>
  <c r="E974" i="2"/>
  <c r="U973" i="2"/>
  <c r="H973" i="2"/>
  <c r="E973" i="2"/>
  <c r="R972" i="2"/>
  <c r="Q972" i="2"/>
  <c r="H972" i="2"/>
  <c r="E972" i="2"/>
  <c r="H971" i="2"/>
  <c r="E971" i="2"/>
  <c r="AB970" i="2"/>
  <c r="H970" i="2"/>
  <c r="E970" i="2"/>
  <c r="Z969" i="2"/>
  <c r="O969" i="2"/>
  <c r="M969" i="2"/>
  <c r="E969" i="2"/>
  <c r="S968" i="2"/>
  <c r="P968" i="2"/>
  <c r="N968" i="2"/>
  <c r="H968" i="2"/>
  <c r="E968" i="2"/>
  <c r="AN967" i="2"/>
  <c r="AM967" i="2"/>
  <c r="H967" i="2"/>
  <c r="E967" i="2"/>
  <c r="AN966" i="2"/>
  <c r="AL966" i="2"/>
  <c r="AE966" i="2"/>
  <c r="Q966" i="2"/>
  <c r="H966" i="2"/>
  <c r="E966" i="2"/>
  <c r="AL965" i="2"/>
  <c r="AJ965" i="2"/>
  <c r="AD965" i="2"/>
  <c r="AC965" i="2"/>
  <c r="S965" i="2"/>
  <c r="H965" i="2"/>
  <c r="E965" i="2"/>
  <c r="AN964" i="2"/>
  <c r="AE964" i="2"/>
  <c r="Q964" i="2"/>
  <c r="H964" i="2"/>
  <c r="E964" i="2"/>
  <c r="R963" i="2"/>
  <c r="Q963" i="2"/>
  <c r="H963" i="2"/>
  <c r="E963" i="2"/>
  <c r="R962" i="2"/>
  <c r="Q962" i="2"/>
  <c r="H962" i="2"/>
  <c r="E962" i="2"/>
  <c r="T961" i="2"/>
  <c r="P961" i="2"/>
  <c r="H961" i="2"/>
  <c r="E961" i="2"/>
  <c r="AN960" i="2"/>
  <c r="AE960" i="2"/>
  <c r="Q960" i="2"/>
  <c r="E960" i="2"/>
  <c r="AE959" i="2"/>
  <c r="Q959" i="2"/>
  <c r="H959" i="2"/>
  <c r="E959" i="2"/>
  <c r="H958" i="2"/>
  <c r="E958" i="2"/>
  <c r="H957" i="2"/>
  <c r="E957" i="2"/>
  <c r="AB956" i="2"/>
  <c r="H956" i="2"/>
  <c r="E956" i="2"/>
  <c r="AN955" i="2"/>
  <c r="AM955" i="2"/>
  <c r="AB955" i="2"/>
  <c r="H955" i="2"/>
  <c r="E955" i="2"/>
  <c r="AF954" i="2"/>
  <c r="AE954" i="2"/>
  <c r="H954" i="2"/>
  <c r="E954" i="2"/>
  <c r="AE953" i="2"/>
  <c r="Q953" i="2"/>
  <c r="H953" i="2"/>
  <c r="E953" i="2"/>
  <c r="AN952" i="2"/>
  <c r="AE952" i="2"/>
  <c r="Q952" i="2"/>
  <c r="E952" i="2"/>
  <c r="AD951" i="2"/>
  <c r="AC951" i="2"/>
  <c r="E951" i="2"/>
  <c r="W950" i="2"/>
  <c r="U950" i="2"/>
  <c r="H950" i="2"/>
  <c r="E950" i="2"/>
  <c r="H949" i="2"/>
  <c r="E949" i="2"/>
  <c r="AB948" i="2"/>
  <c r="H948" i="2"/>
  <c r="E948" i="2"/>
  <c r="H947" i="2"/>
  <c r="E947" i="2"/>
  <c r="H946" i="2"/>
  <c r="E946" i="2"/>
  <c r="AB945" i="2"/>
  <c r="H945" i="2"/>
  <c r="E945" i="2"/>
  <c r="AN944" i="2"/>
  <c r="Q944" i="2"/>
  <c r="H944" i="2"/>
  <c r="E944" i="2"/>
  <c r="X943" i="2"/>
  <c r="U943" i="2"/>
  <c r="H943" i="2"/>
  <c r="E943" i="2"/>
  <c r="AA942" i="2"/>
  <c r="T942" i="2"/>
  <c r="N942" i="2"/>
  <c r="H942" i="2"/>
  <c r="E942" i="2"/>
  <c r="X941" i="2"/>
  <c r="H941" i="2"/>
  <c r="E941" i="2"/>
  <c r="AJ940" i="2"/>
  <c r="E940" i="2"/>
  <c r="AN939" i="2"/>
  <c r="AL939" i="2"/>
  <c r="Q939" i="2"/>
  <c r="K939" i="2"/>
  <c r="E939" i="2"/>
  <c r="AA938" i="2"/>
  <c r="P938" i="2"/>
  <c r="H938" i="2"/>
  <c r="E938" i="2"/>
  <c r="R937" i="2"/>
  <c r="Q937" i="2"/>
  <c r="H937" i="2"/>
  <c r="E937" i="2"/>
  <c r="H936" i="2"/>
  <c r="E936" i="2"/>
  <c r="AN935" i="2"/>
  <c r="AE935" i="2"/>
  <c r="Q935" i="2"/>
  <c r="H935" i="2"/>
  <c r="E935" i="2"/>
  <c r="AB934" i="2"/>
  <c r="E934" i="2"/>
  <c r="H933" i="2"/>
  <c r="E933" i="2"/>
  <c r="AN932" i="2"/>
  <c r="AB932" i="2"/>
  <c r="H932" i="2"/>
  <c r="E932" i="2"/>
  <c r="AN931" i="2"/>
  <c r="AB931" i="2"/>
  <c r="H931" i="2"/>
  <c r="E931" i="2"/>
  <c r="AI930" i="2"/>
  <c r="E930" i="2"/>
  <c r="H929" i="2"/>
  <c r="E929" i="2"/>
  <c r="AL928" i="2"/>
  <c r="AA928" i="2"/>
  <c r="H928" i="2"/>
  <c r="E928" i="2"/>
  <c r="H927" i="2"/>
  <c r="E927" i="2"/>
  <c r="W926" i="2"/>
  <c r="E926" i="2"/>
  <c r="AB925" i="2"/>
  <c r="H925" i="2"/>
  <c r="E925" i="2"/>
  <c r="AB924" i="2"/>
  <c r="H924" i="2"/>
  <c r="E924" i="2"/>
  <c r="AA923" i="2"/>
  <c r="T923" i="2"/>
  <c r="P923" i="2"/>
  <c r="N923" i="2"/>
  <c r="H923" i="2"/>
  <c r="E923" i="2"/>
  <c r="H922" i="2"/>
  <c r="E922" i="2"/>
  <c r="AE921" i="2"/>
  <c r="R921" i="2"/>
  <c r="Q921" i="2"/>
  <c r="H921" i="2"/>
  <c r="E921" i="2"/>
  <c r="R920" i="2"/>
  <c r="Q920" i="2"/>
  <c r="E920" i="2"/>
  <c r="S919" i="2"/>
  <c r="H919" i="2"/>
  <c r="E919" i="2"/>
  <c r="AB918" i="2"/>
  <c r="H918" i="2"/>
  <c r="E918" i="2"/>
  <c r="AI917" i="2"/>
  <c r="T917" i="2"/>
  <c r="H917" i="2"/>
  <c r="E917" i="2"/>
  <c r="AB916" i="2"/>
  <c r="E916" i="2"/>
  <c r="AM915" i="2"/>
  <c r="AB915" i="2"/>
  <c r="H915" i="2"/>
  <c r="E915" i="2"/>
  <c r="AN914" i="2"/>
  <c r="AB914" i="2"/>
  <c r="H914" i="2"/>
  <c r="E914" i="2"/>
  <c r="H913" i="2"/>
  <c r="E913" i="2"/>
  <c r="W912" i="2"/>
  <c r="U912" i="2"/>
  <c r="H912" i="2"/>
  <c r="E912" i="2"/>
  <c r="H911" i="2"/>
  <c r="E911" i="2"/>
  <c r="H910" i="2"/>
  <c r="E910" i="2"/>
  <c r="AF909" i="2"/>
  <c r="AE909" i="2"/>
  <c r="Q909" i="2"/>
  <c r="H909" i="2"/>
  <c r="E909" i="2"/>
  <c r="H908" i="2"/>
  <c r="E908" i="2"/>
  <c r="AN907" i="2"/>
  <c r="AB907" i="2"/>
  <c r="Y907" i="2"/>
  <c r="H907" i="2"/>
  <c r="E907" i="2"/>
  <c r="T906" i="2"/>
  <c r="P906" i="2"/>
  <c r="N906" i="2"/>
  <c r="H906" i="2"/>
  <c r="E906" i="2"/>
  <c r="R905" i="2"/>
  <c r="Q905" i="2"/>
  <c r="H905" i="2"/>
  <c r="E905" i="2"/>
  <c r="T904" i="2"/>
  <c r="H904" i="2"/>
  <c r="E904" i="2"/>
  <c r="AA903" i="2"/>
  <c r="P903" i="2"/>
  <c r="N903" i="2"/>
  <c r="H903" i="2"/>
  <c r="E903" i="2"/>
  <c r="R902" i="2"/>
  <c r="Q902" i="2"/>
  <c r="H902" i="2"/>
  <c r="E902" i="2"/>
  <c r="P901" i="2"/>
  <c r="N901" i="2"/>
  <c r="H901" i="2"/>
  <c r="E901" i="2"/>
  <c r="AL900" i="2"/>
  <c r="E900" i="2"/>
  <c r="H899" i="2"/>
  <c r="E899" i="2"/>
  <c r="H849" i="2"/>
  <c r="W898" i="2"/>
  <c r="U898" i="2"/>
  <c r="H898" i="2"/>
  <c r="E898" i="2"/>
  <c r="Z897" i="2"/>
  <c r="H897" i="2"/>
  <c r="E897" i="2"/>
  <c r="H896" i="2"/>
  <c r="E896" i="2"/>
  <c r="P895" i="2"/>
  <c r="H895" i="2"/>
  <c r="E895" i="2"/>
  <c r="H894" i="2"/>
  <c r="E894" i="2"/>
  <c r="R893" i="2"/>
  <c r="Q893" i="2"/>
  <c r="H893" i="2"/>
  <c r="E893" i="2"/>
  <c r="AN892" i="2"/>
  <c r="AE892" i="2"/>
  <c r="Q892" i="2"/>
  <c r="H892" i="2"/>
  <c r="E892" i="2"/>
  <c r="AN891" i="2"/>
  <c r="AE891" i="2"/>
  <c r="Q891" i="2"/>
  <c r="E891" i="2"/>
  <c r="H890" i="2"/>
  <c r="E890" i="2"/>
  <c r="AK889" i="2"/>
  <c r="H889" i="2"/>
  <c r="E889" i="2"/>
  <c r="X888" i="2"/>
  <c r="U888" i="2"/>
  <c r="H888" i="2"/>
  <c r="E888" i="2"/>
  <c r="H887" i="2"/>
  <c r="E887" i="2"/>
  <c r="AK886" i="2"/>
  <c r="AA886" i="2"/>
  <c r="T886" i="2"/>
  <c r="P886" i="2"/>
  <c r="N886" i="2"/>
  <c r="H886" i="2"/>
  <c r="E886" i="2"/>
  <c r="AN885" i="2"/>
  <c r="E885" i="2"/>
  <c r="AE884" i="2"/>
  <c r="R884" i="2"/>
  <c r="Q884" i="2"/>
  <c r="H884" i="2"/>
  <c r="E884" i="2"/>
  <c r="AA883" i="2"/>
  <c r="P883" i="2"/>
  <c r="N883" i="2"/>
  <c r="H883" i="2"/>
  <c r="E883" i="2"/>
  <c r="AN882" i="2"/>
  <c r="E882" i="2"/>
  <c r="AF881" i="2"/>
  <c r="AE881" i="2"/>
  <c r="H881" i="2"/>
  <c r="E881" i="2"/>
  <c r="AN880" i="2"/>
  <c r="AE880" i="2"/>
  <c r="Q880" i="2"/>
  <c r="H880" i="2"/>
  <c r="E880" i="2"/>
  <c r="AI879" i="2"/>
  <c r="H879" i="2"/>
  <c r="E879" i="2"/>
  <c r="AK878" i="2"/>
  <c r="AA878" i="2"/>
  <c r="T878" i="2"/>
  <c r="H878" i="2"/>
  <c r="E878" i="2"/>
  <c r="H877" i="2"/>
  <c r="E877" i="2"/>
  <c r="T876" i="2"/>
  <c r="H876" i="2"/>
  <c r="E876" i="2"/>
  <c r="AB875" i="2"/>
  <c r="E875" i="2"/>
  <c r="AJ874" i="2"/>
  <c r="U874" i="2"/>
  <c r="H874" i="2"/>
  <c r="E874" i="2"/>
  <c r="R873" i="2"/>
  <c r="Q873" i="2"/>
  <c r="H873" i="2"/>
  <c r="E873" i="2"/>
  <c r="H872" i="2"/>
  <c r="E872" i="2"/>
  <c r="X871" i="2"/>
  <c r="U871" i="2"/>
  <c r="H871" i="2"/>
  <c r="E871" i="2"/>
  <c r="P870" i="2"/>
  <c r="N870" i="2"/>
  <c r="E870" i="2"/>
  <c r="T869" i="2"/>
  <c r="P869" i="2"/>
  <c r="N869" i="2"/>
  <c r="H869" i="2"/>
  <c r="E869" i="2"/>
  <c r="AF868" i="2"/>
  <c r="AE868" i="2"/>
  <c r="Q868" i="2"/>
  <c r="H868" i="2"/>
  <c r="E868" i="2"/>
  <c r="AN867" i="2"/>
  <c r="R867" i="2"/>
  <c r="Q867" i="2"/>
  <c r="E867" i="2"/>
  <c r="AA866" i="2"/>
  <c r="H866" i="2"/>
  <c r="E866" i="2"/>
  <c r="AI865" i="2"/>
  <c r="H865" i="2"/>
  <c r="E865" i="2"/>
  <c r="W864" i="2"/>
  <c r="U864" i="2"/>
  <c r="H864" i="2"/>
  <c r="E864" i="2"/>
  <c r="AN863" i="2"/>
  <c r="AM863" i="2"/>
  <c r="AB863" i="2"/>
  <c r="H863" i="2"/>
  <c r="E863" i="2"/>
  <c r="W862" i="2"/>
  <c r="U862" i="2"/>
  <c r="H862" i="2"/>
  <c r="E862" i="2"/>
  <c r="P861" i="2"/>
  <c r="N861" i="2"/>
  <c r="H861" i="2"/>
  <c r="E861" i="2"/>
  <c r="P860" i="2"/>
  <c r="N860" i="2"/>
  <c r="E860" i="2"/>
  <c r="T859" i="2"/>
  <c r="E859" i="2"/>
  <c r="AN858" i="2"/>
  <c r="Q858" i="2"/>
  <c r="E858" i="2"/>
  <c r="H857" i="2"/>
  <c r="E857" i="2"/>
  <c r="H856" i="2"/>
  <c r="E856" i="2"/>
  <c r="H855" i="2"/>
  <c r="E855" i="2"/>
  <c r="O854" i="2"/>
  <c r="M854" i="2"/>
  <c r="H854" i="2"/>
  <c r="E854" i="2"/>
  <c r="AL853" i="2"/>
  <c r="H853" i="2"/>
  <c r="E853" i="2"/>
  <c r="AN852" i="2"/>
  <c r="AB852" i="2"/>
  <c r="H852" i="2"/>
  <c r="E852" i="2"/>
  <c r="X851" i="2"/>
  <c r="U851" i="2"/>
  <c r="E851" i="2"/>
  <c r="AL850" i="2"/>
  <c r="AF850" i="2"/>
  <c r="AE850" i="2"/>
  <c r="Q850" i="2"/>
  <c r="H850" i="2"/>
  <c r="E850" i="2"/>
  <c r="AB848" i="2"/>
  <c r="Y848" i="2"/>
  <c r="H848" i="2"/>
  <c r="E848" i="2"/>
  <c r="S847" i="2"/>
  <c r="H847" i="2"/>
  <c r="E847" i="2"/>
  <c r="AL846" i="2"/>
  <c r="AG846" i="2"/>
  <c r="O846" i="2"/>
  <c r="H846" i="2"/>
  <c r="E846" i="2"/>
  <c r="AL845" i="2"/>
  <c r="AF845" i="2"/>
  <c r="AE845" i="2"/>
  <c r="Q845" i="2"/>
  <c r="H845" i="2"/>
  <c r="E845" i="2"/>
  <c r="AB844" i="2"/>
  <c r="H844" i="2"/>
  <c r="E844" i="2"/>
  <c r="R843" i="2"/>
  <c r="Q843" i="2"/>
  <c r="H843" i="2"/>
  <c r="E843" i="2"/>
  <c r="AF842" i="2"/>
  <c r="AE842" i="2"/>
  <c r="Q842" i="2"/>
  <c r="E842" i="2"/>
  <c r="X841" i="2"/>
  <c r="U841" i="2"/>
  <c r="H841" i="2"/>
  <c r="E841" i="2"/>
  <c r="AF840" i="2"/>
  <c r="AE840" i="2"/>
  <c r="R840" i="2"/>
  <c r="Q840" i="2"/>
  <c r="H840" i="2"/>
  <c r="E840" i="2"/>
  <c r="AM839" i="2"/>
  <c r="AB839" i="2"/>
  <c r="Y839" i="2"/>
  <c r="H839" i="2"/>
  <c r="E839" i="2"/>
  <c r="AN838" i="2"/>
  <c r="AF838" i="2"/>
  <c r="AE838" i="2"/>
  <c r="R838" i="2"/>
  <c r="Q838" i="2"/>
  <c r="H838" i="2"/>
  <c r="E838" i="2"/>
  <c r="AN837" i="2"/>
  <c r="E837" i="2"/>
  <c r="AI836" i="2"/>
  <c r="E836" i="2"/>
  <c r="H835" i="2"/>
  <c r="E835" i="2"/>
  <c r="AF834" i="2"/>
  <c r="AE834" i="2"/>
  <c r="R834" i="2"/>
  <c r="Q834" i="2"/>
  <c r="H834" i="2"/>
  <c r="E834" i="2"/>
  <c r="AI833" i="2"/>
  <c r="AA833" i="2"/>
  <c r="T833" i="2"/>
  <c r="P833" i="2"/>
  <c r="N833" i="2"/>
  <c r="H833" i="2"/>
  <c r="E833" i="2"/>
  <c r="T832" i="2"/>
  <c r="P832" i="2"/>
  <c r="N832" i="2"/>
  <c r="H832" i="2"/>
  <c r="E832" i="2"/>
  <c r="AF831" i="2"/>
  <c r="AE831" i="2"/>
  <c r="R831" i="2"/>
  <c r="Q831" i="2"/>
  <c r="H831" i="2"/>
  <c r="E831" i="2"/>
  <c r="AN830" i="2"/>
  <c r="AF830" i="2"/>
  <c r="AE830" i="2"/>
  <c r="Q830" i="2"/>
  <c r="H830" i="2"/>
  <c r="E830" i="2"/>
  <c r="H829" i="2"/>
  <c r="E829" i="2"/>
  <c r="H828" i="2"/>
  <c r="E828" i="2"/>
  <c r="AL827" i="2"/>
  <c r="O827" i="2"/>
  <c r="M827" i="2"/>
  <c r="E827" i="2"/>
  <c r="Z826" i="2"/>
  <c r="O826" i="2"/>
  <c r="M826" i="2"/>
  <c r="E826" i="2"/>
  <c r="AJ825" i="2"/>
  <c r="AB825" i="2"/>
  <c r="V825" i="2"/>
  <c r="H825" i="2"/>
  <c r="E825" i="2"/>
  <c r="H824" i="2"/>
  <c r="E824" i="2"/>
  <c r="H823" i="2"/>
  <c r="E823" i="2"/>
  <c r="H822" i="2"/>
  <c r="E822" i="2"/>
  <c r="T821" i="2"/>
  <c r="P821" i="2"/>
  <c r="N821" i="2"/>
  <c r="H821" i="2"/>
  <c r="E821" i="2"/>
  <c r="AI820" i="2"/>
  <c r="AD820" i="2"/>
  <c r="AC820" i="2"/>
  <c r="V820" i="2"/>
  <c r="E820" i="2"/>
  <c r="H819" i="2"/>
  <c r="E819" i="2"/>
  <c r="H818" i="2"/>
  <c r="E818" i="2"/>
  <c r="H817" i="2"/>
  <c r="E817" i="2"/>
  <c r="H816" i="2"/>
  <c r="E816" i="2"/>
  <c r="AF815" i="2"/>
  <c r="AE815" i="2"/>
  <c r="H815" i="2"/>
  <c r="E815" i="2"/>
  <c r="AN814" i="2"/>
  <c r="AF814" i="2"/>
  <c r="AE814" i="2"/>
  <c r="Q814" i="2"/>
  <c r="E814" i="2"/>
  <c r="Z813" i="2"/>
  <c r="H813" i="2"/>
  <c r="E813" i="2"/>
  <c r="AM812" i="2"/>
  <c r="AI812" i="2"/>
  <c r="AB812" i="2"/>
  <c r="H812" i="2"/>
  <c r="E812" i="2"/>
  <c r="AA811" i="2"/>
  <c r="H811" i="2"/>
  <c r="E811" i="2"/>
  <c r="AB810" i="2"/>
  <c r="E810" i="2"/>
  <c r="AL809" i="2"/>
  <c r="E809" i="2"/>
  <c r="Z808" i="2"/>
  <c r="H808" i="2"/>
  <c r="E808" i="2"/>
  <c r="P807" i="2"/>
  <c r="N807" i="2"/>
  <c r="H807" i="2"/>
  <c r="E807" i="2"/>
  <c r="AI806" i="2"/>
  <c r="AD806" i="2"/>
  <c r="AC806" i="2"/>
  <c r="AB806" i="2"/>
  <c r="Y806" i="2"/>
  <c r="H806" i="2"/>
  <c r="E806" i="2"/>
  <c r="X805" i="2"/>
  <c r="U805" i="2"/>
  <c r="H805" i="2"/>
  <c r="E805" i="2"/>
  <c r="AN804" i="2"/>
  <c r="Q804" i="2"/>
  <c r="H804" i="2"/>
  <c r="E804" i="2"/>
  <c r="AI803" i="2"/>
  <c r="E803" i="2"/>
  <c r="AN802" i="2"/>
  <c r="AE802" i="2"/>
  <c r="Q802" i="2"/>
  <c r="H802" i="2"/>
  <c r="E802" i="2"/>
  <c r="H801" i="2"/>
  <c r="E801" i="2"/>
  <c r="AI800" i="2"/>
  <c r="V800" i="2"/>
  <c r="E800" i="2"/>
  <c r="W799" i="2"/>
  <c r="U799" i="2"/>
  <c r="E799" i="2"/>
  <c r="H798" i="2"/>
  <c r="E798" i="2"/>
  <c r="H797" i="2"/>
  <c r="E797" i="2"/>
  <c r="H796" i="2"/>
  <c r="E796" i="2"/>
  <c r="AF795" i="2"/>
  <c r="H795" i="2"/>
  <c r="E795" i="2"/>
  <c r="H794" i="2"/>
  <c r="E794" i="2"/>
  <c r="T793" i="2"/>
  <c r="H793" i="2"/>
  <c r="E793" i="2"/>
  <c r="AC792" i="2"/>
  <c r="E792" i="2"/>
  <c r="H791" i="2"/>
  <c r="E791" i="2"/>
  <c r="Q790" i="2"/>
  <c r="H790" i="2"/>
  <c r="E790" i="2"/>
  <c r="X789" i="2"/>
  <c r="U789" i="2"/>
  <c r="H789" i="2"/>
  <c r="E789" i="2"/>
  <c r="H788" i="2"/>
  <c r="E788" i="2"/>
  <c r="AJ787" i="2"/>
  <c r="AD787" i="2"/>
  <c r="AC787" i="2"/>
  <c r="O787" i="2"/>
  <c r="M787" i="2"/>
  <c r="H787" i="2"/>
  <c r="E787" i="2"/>
  <c r="AM786" i="2"/>
  <c r="AB786" i="2"/>
  <c r="H786" i="2"/>
  <c r="E786" i="2"/>
  <c r="AN785" i="2"/>
  <c r="AF785" i="2"/>
  <c r="AE785" i="2"/>
  <c r="Q785" i="2"/>
  <c r="E785" i="2"/>
  <c r="AM784" i="2"/>
  <c r="E784" i="2"/>
  <c r="H783" i="2"/>
  <c r="E783" i="2"/>
  <c r="AB782" i="2"/>
  <c r="H782" i="2"/>
  <c r="E782" i="2"/>
  <c r="AN781" i="2"/>
  <c r="AI781" i="2"/>
  <c r="Q781" i="2"/>
  <c r="H781" i="2"/>
  <c r="E781" i="2"/>
  <c r="AN780" i="2"/>
  <c r="AF780" i="2"/>
  <c r="AE780" i="2"/>
  <c r="Q780" i="2"/>
  <c r="H780" i="2"/>
  <c r="E780" i="2"/>
  <c r="P779" i="2"/>
  <c r="N779" i="2"/>
  <c r="H779" i="2"/>
  <c r="E779" i="2"/>
  <c r="AL778" i="2"/>
  <c r="Z778" i="2"/>
  <c r="T778" i="2"/>
  <c r="H778" i="2"/>
  <c r="E778" i="2"/>
  <c r="AM777" i="2"/>
  <c r="AB777" i="2"/>
  <c r="H777" i="2"/>
  <c r="E777" i="2"/>
  <c r="AA776" i="2"/>
  <c r="E776" i="2"/>
  <c r="AN775" i="2"/>
  <c r="AF775" i="2"/>
  <c r="AE775" i="2"/>
  <c r="Q775" i="2"/>
  <c r="H775" i="2"/>
  <c r="E775" i="2"/>
  <c r="AA774" i="2"/>
  <c r="P774" i="2"/>
  <c r="N774" i="2"/>
  <c r="H774" i="2"/>
  <c r="E774" i="2"/>
  <c r="H773" i="2"/>
  <c r="E773" i="2"/>
  <c r="H772" i="2"/>
  <c r="E772" i="2"/>
  <c r="H771" i="2"/>
  <c r="E771" i="2"/>
  <c r="AF770" i="2"/>
  <c r="AE770" i="2"/>
  <c r="R770" i="2"/>
  <c r="Q770" i="2"/>
  <c r="H770" i="2"/>
  <c r="E770" i="2"/>
  <c r="T769" i="2"/>
  <c r="H769" i="2"/>
  <c r="E769" i="2"/>
  <c r="AC768" i="2"/>
  <c r="AB768" i="2"/>
  <c r="E768" i="2"/>
  <c r="H767" i="2"/>
  <c r="E767" i="2"/>
  <c r="H766" i="2"/>
  <c r="E766" i="2"/>
  <c r="H765" i="2"/>
  <c r="E765" i="2"/>
  <c r="Z764" i="2"/>
  <c r="S764" i="2"/>
  <c r="O764" i="2"/>
  <c r="E764" i="2"/>
  <c r="AA763" i="2"/>
  <c r="T763" i="2"/>
  <c r="H763" i="2"/>
  <c r="E763" i="2"/>
  <c r="AM762" i="2"/>
  <c r="AI762" i="2"/>
  <c r="E762" i="2"/>
  <c r="H761" i="2"/>
  <c r="E761" i="2"/>
  <c r="X760" i="2"/>
  <c r="U760" i="2"/>
  <c r="H760" i="2"/>
  <c r="E760" i="2"/>
  <c r="H759" i="2"/>
  <c r="E759" i="2"/>
  <c r="O758" i="2"/>
  <c r="M758" i="2"/>
  <c r="H758" i="2"/>
  <c r="E758" i="2"/>
  <c r="H757" i="2"/>
  <c r="E757" i="2"/>
  <c r="H756" i="2"/>
  <c r="E756" i="2"/>
  <c r="AA755" i="2"/>
  <c r="T755" i="2"/>
  <c r="P755" i="2"/>
  <c r="N755" i="2"/>
  <c r="H755" i="2"/>
  <c r="E755" i="2"/>
  <c r="R754" i="2"/>
  <c r="Q754" i="2"/>
  <c r="E754" i="2"/>
  <c r="AK753" i="2"/>
  <c r="H753" i="2"/>
  <c r="E753" i="2"/>
  <c r="AO752" i="2"/>
  <c r="AN752" i="2"/>
  <c r="H752" i="2"/>
  <c r="E752" i="2"/>
  <c r="T751" i="2"/>
  <c r="H751" i="2"/>
  <c r="E751" i="2"/>
  <c r="H750" i="2"/>
  <c r="E750" i="2"/>
  <c r="AB749" i="2"/>
  <c r="H749" i="2"/>
  <c r="E749" i="2"/>
  <c r="AM748" i="2"/>
  <c r="H748" i="2"/>
  <c r="E748" i="2"/>
  <c r="H747" i="2"/>
  <c r="E747" i="2"/>
  <c r="P746" i="2"/>
  <c r="N746" i="2"/>
  <c r="H746" i="2"/>
  <c r="E746" i="2"/>
  <c r="H745" i="2"/>
  <c r="E745" i="2"/>
  <c r="P744" i="2"/>
  <c r="N744" i="2"/>
  <c r="H744" i="2"/>
  <c r="E744" i="2"/>
  <c r="T743" i="2"/>
  <c r="P743" i="2"/>
  <c r="N743" i="2"/>
  <c r="H743" i="2"/>
  <c r="E743" i="2"/>
  <c r="AE742" i="2"/>
  <c r="R742" i="2"/>
  <c r="Q742" i="2"/>
  <c r="H742" i="2"/>
  <c r="E742" i="2"/>
  <c r="AI741" i="2"/>
  <c r="H741" i="2"/>
  <c r="E741" i="2"/>
  <c r="O740" i="2"/>
  <c r="M740" i="2"/>
  <c r="H740" i="2"/>
  <c r="E740" i="2"/>
  <c r="T739" i="2"/>
  <c r="H739" i="2"/>
  <c r="E739" i="2"/>
  <c r="R738" i="2"/>
  <c r="Q738" i="2"/>
  <c r="H738" i="2"/>
  <c r="E738" i="2"/>
  <c r="H737" i="2"/>
  <c r="E737" i="2"/>
  <c r="AH736" i="2"/>
  <c r="AG736" i="2"/>
  <c r="O736" i="2"/>
  <c r="M736" i="2"/>
  <c r="H736" i="2"/>
  <c r="E736" i="2"/>
  <c r="R735" i="2"/>
  <c r="Q735" i="2"/>
  <c r="H735" i="2"/>
  <c r="E735" i="2"/>
  <c r="AI734" i="2"/>
  <c r="AD734" i="2"/>
  <c r="AC734" i="2"/>
  <c r="O734" i="2"/>
  <c r="M734" i="2"/>
  <c r="H734" i="2"/>
  <c r="E734" i="2"/>
  <c r="W733" i="2"/>
  <c r="U733" i="2"/>
  <c r="H733" i="2"/>
  <c r="E733" i="2"/>
  <c r="H732" i="2"/>
  <c r="E732" i="2"/>
  <c r="T731" i="2"/>
  <c r="E731" i="2"/>
  <c r="W730" i="2"/>
  <c r="U730" i="2"/>
  <c r="H730" i="2"/>
  <c r="E730" i="2"/>
  <c r="W729" i="2"/>
  <c r="U729" i="2"/>
  <c r="H729" i="2"/>
  <c r="E729" i="2"/>
  <c r="H728" i="2"/>
  <c r="E728" i="2"/>
  <c r="W727" i="2"/>
  <c r="U727" i="2"/>
  <c r="H727" i="2"/>
  <c r="E727" i="2"/>
  <c r="T726" i="2"/>
  <c r="H726" i="2"/>
  <c r="E726" i="2"/>
  <c r="AM725" i="2"/>
  <c r="AJ725" i="2"/>
  <c r="AB725" i="2"/>
  <c r="H725" i="2"/>
  <c r="E725" i="2"/>
  <c r="AO724" i="2"/>
  <c r="AN724" i="2"/>
  <c r="AE724" i="2"/>
  <c r="Q724" i="2"/>
  <c r="H724" i="2"/>
  <c r="E724" i="2"/>
  <c r="AA723" i="2"/>
  <c r="T723" i="2"/>
  <c r="P723" i="2"/>
  <c r="N723" i="2"/>
  <c r="H723" i="2"/>
  <c r="E723" i="2"/>
  <c r="AB722" i="2"/>
  <c r="Y722" i="2"/>
  <c r="V722" i="2"/>
  <c r="S722" i="2"/>
  <c r="E722" i="2"/>
  <c r="H721" i="2"/>
  <c r="E721" i="2"/>
  <c r="H720" i="2"/>
  <c r="E720" i="2"/>
  <c r="AO719" i="2"/>
  <c r="AN719" i="2"/>
  <c r="AL719" i="2"/>
  <c r="Q719" i="2"/>
  <c r="E719" i="2"/>
  <c r="R718" i="2"/>
  <c r="Q718" i="2"/>
  <c r="H718" i="2"/>
  <c r="E718" i="2"/>
  <c r="Y717" i="2"/>
  <c r="H717" i="2"/>
  <c r="E717" i="2"/>
  <c r="H716" i="2"/>
  <c r="E716" i="2"/>
  <c r="AF715" i="2"/>
  <c r="AE715" i="2"/>
  <c r="R715" i="2"/>
  <c r="Q715" i="2"/>
  <c r="H715" i="2"/>
  <c r="E715" i="2"/>
  <c r="AO714" i="2"/>
  <c r="AN714" i="2"/>
  <c r="Q714" i="2"/>
  <c r="H714" i="2"/>
  <c r="E714" i="2"/>
  <c r="H713" i="2"/>
  <c r="E713" i="2"/>
  <c r="AI712" i="2"/>
  <c r="AH712" i="2"/>
  <c r="AD712" i="2"/>
  <c r="AC712" i="2"/>
  <c r="H712" i="2"/>
  <c r="E712" i="2"/>
  <c r="AM711" i="2"/>
  <c r="AI711" i="2"/>
  <c r="X711" i="2"/>
  <c r="U711" i="2"/>
  <c r="H711" i="2"/>
  <c r="E711" i="2"/>
  <c r="H710" i="2"/>
  <c r="E710" i="2"/>
  <c r="AF709" i="2"/>
  <c r="H709" i="2"/>
  <c r="E709" i="2"/>
  <c r="AB708" i="2"/>
  <c r="H708" i="2"/>
  <c r="E708" i="2"/>
  <c r="W707" i="2"/>
  <c r="E707" i="2"/>
  <c r="AC706" i="2"/>
  <c r="T706" i="2"/>
  <c r="O706" i="2"/>
  <c r="H706" i="2"/>
  <c r="E706" i="2"/>
  <c r="X705" i="2"/>
  <c r="U705" i="2"/>
  <c r="H705" i="2"/>
  <c r="E705" i="2"/>
  <c r="AM704" i="2"/>
  <c r="AB704" i="2"/>
  <c r="E704" i="2"/>
  <c r="T703" i="2"/>
  <c r="O703" i="2"/>
  <c r="H703" i="2"/>
  <c r="E703" i="2"/>
  <c r="AF702" i="2"/>
  <c r="AE702" i="2"/>
  <c r="Q702" i="2"/>
  <c r="H702" i="2"/>
  <c r="E702" i="2"/>
  <c r="H701" i="2"/>
  <c r="E701" i="2"/>
  <c r="H700" i="2"/>
  <c r="E700" i="2"/>
  <c r="H699" i="2"/>
  <c r="E699" i="2"/>
  <c r="H698" i="2"/>
  <c r="E698" i="2"/>
  <c r="AH697" i="2"/>
  <c r="AG697" i="2"/>
  <c r="AD697" i="2"/>
  <c r="AC697" i="2"/>
  <c r="H697" i="2"/>
  <c r="E697" i="2"/>
  <c r="H696" i="2"/>
  <c r="E696" i="2"/>
  <c r="AM695" i="2"/>
  <c r="AH695" i="2"/>
  <c r="U695" i="2"/>
  <c r="H695" i="2"/>
  <c r="E695" i="2"/>
  <c r="H694" i="2"/>
  <c r="E694" i="2"/>
  <c r="Z693" i="2"/>
  <c r="S693" i="2"/>
  <c r="H693" i="2"/>
  <c r="E693" i="2"/>
  <c r="AO692" i="2"/>
  <c r="AN692" i="2"/>
  <c r="AE692" i="2"/>
  <c r="Q692" i="2"/>
  <c r="E692" i="2"/>
  <c r="Z691" i="2"/>
  <c r="H691" i="2"/>
  <c r="E691" i="2"/>
  <c r="W690" i="2"/>
  <c r="H690" i="2"/>
  <c r="E690" i="2"/>
  <c r="T689" i="2"/>
  <c r="P689" i="2"/>
  <c r="N689" i="2"/>
  <c r="H689" i="2"/>
  <c r="E689" i="2"/>
  <c r="AB688" i="2"/>
  <c r="Y688" i="2"/>
  <c r="H688" i="2"/>
  <c r="E688" i="2"/>
  <c r="AA687" i="2"/>
  <c r="P687" i="2"/>
  <c r="N687" i="2"/>
  <c r="H687" i="2"/>
  <c r="E687" i="2"/>
  <c r="H686" i="2"/>
  <c r="E686" i="2"/>
  <c r="H685" i="2"/>
  <c r="E685" i="2"/>
  <c r="R684" i="2"/>
  <c r="Q684" i="2"/>
  <c r="H684" i="2"/>
  <c r="E684" i="2"/>
  <c r="H683" i="2"/>
  <c r="E683" i="2"/>
  <c r="P682" i="2"/>
  <c r="N682" i="2"/>
  <c r="H682" i="2"/>
  <c r="E682" i="2"/>
  <c r="H681" i="2"/>
  <c r="E681" i="2"/>
  <c r="H680" i="2"/>
  <c r="E680" i="2"/>
  <c r="H679" i="2"/>
  <c r="E679" i="2"/>
  <c r="AO678" i="2"/>
  <c r="AN678" i="2"/>
  <c r="R678" i="2"/>
  <c r="Q678" i="2"/>
  <c r="H678" i="2"/>
  <c r="E678" i="2"/>
  <c r="AO677" i="2"/>
  <c r="AN677" i="2"/>
  <c r="AF677" i="2"/>
  <c r="AE677" i="2"/>
  <c r="Q677" i="2"/>
  <c r="E677" i="2"/>
  <c r="AO676" i="2"/>
  <c r="AN676" i="2"/>
  <c r="AM676" i="2"/>
  <c r="AD676" i="2"/>
  <c r="AC676" i="2"/>
  <c r="AB676" i="2"/>
  <c r="H676" i="2"/>
  <c r="E676" i="2"/>
  <c r="H675" i="2"/>
  <c r="E675" i="2"/>
  <c r="AL674" i="2"/>
  <c r="AF674" i="2"/>
  <c r="AE674" i="2"/>
  <c r="H674" i="2"/>
  <c r="E674" i="2"/>
  <c r="H673" i="2"/>
  <c r="E673" i="2"/>
  <c r="AO672" i="2"/>
  <c r="AN672" i="2"/>
  <c r="AF672" i="2"/>
  <c r="AE672" i="2"/>
  <c r="R672" i="2"/>
  <c r="Q672" i="2"/>
  <c r="H672" i="2"/>
  <c r="E672" i="2"/>
  <c r="AO671" i="2"/>
  <c r="AN671" i="2"/>
  <c r="AL671" i="2"/>
  <c r="AF671" i="2"/>
  <c r="AE671" i="2"/>
  <c r="Q671" i="2"/>
  <c r="H671" i="2"/>
  <c r="E671" i="2"/>
  <c r="AF670" i="2"/>
  <c r="AE670" i="2"/>
  <c r="R670" i="2"/>
  <c r="Q670" i="2"/>
  <c r="E670" i="2"/>
  <c r="AL669" i="2"/>
  <c r="H669" i="2"/>
  <c r="E669" i="2"/>
  <c r="X668" i="2"/>
  <c r="U668" i="2"/>
  <c r="H668" i="2"/>
  <c r="E668" i="2"/>
  <c r="AB667" i="2"/>
  <c r="H667" i="2"/>
  <c r="E667" i="2"/>
  <c r="AM666" i="2"/>
  <c r="AI666" i="2"/>
  <c r="H666" i="2"/>
  <c r="E666" i="2"/>
  <c r="AD665" i="2"/>
  <c r="AC665" i="2"/>
  <c r="T665" i="2"/>
  <c r="H665" i="2"/>
  <c r="E665" i="2"/>
  <c r="T664" i="2"/>
  <c r="O664" i="2"/>
  <c r="H664" i="2"/>
  <c r="E664" i="2"/>
  <c r="W663" i="2"/>
  <c r="E663" i="2"/>
  <c r="H662" i="2"/>
  <c r="E662" i="2"/>
  <c r="AJ661" i="2"/>
  <c r="L661" i="2"/>
  <c r="J661" i="2"/>
  <c r="E661" i="2"/>
  <c r="AI660" i="2"/>
  <c r="AF660" i="2"/>
  <c r="AE660" i="2"/>
  <c r="R660" i="2"/>
  <c r="Q660" i="2"/>
  <c r="H660" i="2"/>
  <c r="E660" i="2"/>
  <c r="H659" i="2"/>
  <c r="E659" i="2"/>
  <c r="AA658" i="2"/>
  <c r="H658" i="2"/>
  <c r="E658" i="2"/>
  <c r="H657" i="2"/>
  <c r="E657" i="2"/>
  <c r="H656" i="2"/>
  <c r="E656" i="2"/>
  <c r="AB655" i="2"/>
  <c r="H655" i="2"/>
  <c r="E655" i="2"/>
  <c r="AE654" i="2"/>
  <c r="Q654" i="2"/>
  <c r="H654" i="2"/>
  <c r="E654" i="2"/>
  <c r="AL653" i="2"/>
  <c r="AG653" i="2"/>
  <c r="H653" i="2"/>
  <c r="E653" i="2"/>
  <c r="AM652" i="2"/>
  <c r="AH652" i="2"/>
  <c r="X652" i="2"/>
  <c r="U652" i="2"/>
  <c r="H652" i="2"/>
  <c r="E652" i="2"/>
  <c r="AK651" i="2"/>
  <c r="AA651" i="2"/>
  <c r="H651" i="2"/>
  <c r="E651" i="2"/>
  <c r="H650" i="2"/>
  <c r="E650" i="2"/>
  <c r="AA649" i="2"/>
  <c r="P649" i="2"/>
  <c r="N649" i="2"/>
  <c r="H649" i="2"/>
  <c r="E649" i="2"/>
  <c r="Z648" i="2"/>
  <c r="S648" i="2"/>
  <c r="H648" i="2"/>
  <c r="E648" i="2"/>
  <c r="H647" i="2"/>
  <c r="E647" i="2"/>
  <c r="H646" i="2"/>
  <c r="E646" i="2"/>
  <c r="P645" i="2"/>
  <c r="N645" i="2"/>
  <c r="H645" i="2"/>
  <c r="E645" i="2"/>
  <c r="H644" i="2"/>
  <c r="E644" i="2"/>
  <c r="M643" i="2"/>
  <c r="E643" i="2"/>
  <c r="AB642" i="2"/>
  <c r="H642" i="2"/>
  <c r="E642" i="2"/>
  <c r="H641" i="2"/>
  <c r="E641" i="2"/>
  <c r="AO640" i="2"/>
  <c r="AN640" i="2"/>
  <c r="AF640" i="2"/>
  <c r="AE640" i="2"/>
  <c r="Q640" i="2"/>
  <c r="H640" i="2"/>
  <c r="E640" i="2"/>
  <c r="AO639" i="2"/>
  <c r="AN639" i="2"/>
  <c r="AE639" i="2"/>
  <c r="Q639" i="2"/>
  <c r="H639" i="2"/>
  <c r="E639" i="2"/>
  <c r="H638" i="2"/>
  <c r="E638" i="2"/>
  <c r="AI637" i="2"/>
  <c r="AH637" i="2"/>
  <c r="AG637" i="2"/>
  <c r="N637" i="2"/>
  <c r="H637" i="2"/>
  <c r="E637" i="2"/>
  <c r="AN636" i="2"/>
  <c r="AF636" i="2"/>
  <c r="AE636" i="2"/>
  <c r="Q636" i="2"/>
  <c r="H636" i="2"/>
  <c r="E636" i="2"/>
  <c r="AO635" i="2"/>
  <c r="AN635" i="2"/>
  <c r="AI635" i="2"/>
  <c r="Q635" i="2"/>
  <c r="H635" i="2"/>
  <c r="E635" i="2"/>
  <c r="AF634" i="2"/>
  <c r="AE634" i="2"/>
  <c r="H634" i="2"/>
  <c r="E634" i="2"/>
  <c r="X633" i="2"/>
  <c r="H633" i="2"/>
  <c r="E633" i="2"/>
  <c r="O632" i="2"/>
  <c r="M632" i="2"/>
  <c r="E632" i="2"/>
  <c r="AO631" i="2"/>
  <c r="AN631" i="2"/>
  <c r="AF631" i="2"/>
  <c r="AE631" i="2"/>
  <c r="R631" i="2"/>
  <c r="Q631" i="2"/>
  <c r="H631" i="2"/>
  <c r="E631" i="2"/>
  <c r="AA630" i="2"/>
  <c r="T630" i="2"/>
  <c r="P630" i="2"/>
  <c r="N630" i="2"/>
  <c r="E630" i="2"/>
  <c r="H629" i="2"/>
  <c r="E629" i="2"/>
  <c r="T628" i="2"/>
  <c r="E628" i="2"/>
  <c r="AO627" i="2"/>
  <c r="AN627" i="2"/>
  <c r="AL627" i="2"/>
  <c r="AF627" i="2"/>
  <c r="AE627" i="2"/>
  <c r="R627" i="2"/>
  <c r="Q627" i="2"/>
  <c r="H627" i="2"/>
  <c r="E627" i="2"/>
  <c r="AM626" i="2"/>
  <c r="AB626" i="2"/>
  <c r="H626" i="2"/>
  <c r="E626" i="2"/>
  <c r="T625" i="2"/>
  <c r="P625" i="2"/>
  <c r="N625" i="2"/>
  <c r="H625" i="2"/>
  <c r="E625" i="2"/>
  <c r="H624" i="2"/>
  <c r="E624" i="2"/>
  <c r="AJ623" i="2"/>
  <c r="AI623" i="2"/>
  <c r="H623" i="2"/>
  <c r="E623" i="2"/>
  <c r="H622" i="2"/>
  <c r="E622" i="2"/>
  <c r="W621" i="2"/>
  <c r="U621" i="2"/>
  <c r="H621" i="2"/>
  <c r="E621" i="2"/>
  <c r="H620" i="2"/>
  <c r="E620" i="2"/>
  <c r="AJ619" i="2"/>
  <c r="E619" i="2"/>
  <c r="AH618" i="2"/>
  <c r="AG618" i="2"/>
  <c r="AB618" i="2"/>
  <c r="Y618" i="2"/>
  <c r="H618" i="2"/>
  <c r="E618" i="2"/>
  <c r="AA617" i="2"/>
  <c r="T617" i="2"/>
  <c r="P617" i="2"/>
  <c r="N617" i="2"/>
  <c r="H617" i="2"/>
  <c r="E617" i="2"/>
  <c r="O616" i="2"/>
  <c r="M616" i="2"/>
  <c r="H616" i="2"/>
  <c r="E616" i="2"/>
  <c r="H615" i="2"/>
  <c r="E615" i="2"/>
  <c r="AL614" i="2"/>
  <c r="AH614" i="2"/>
  <c r="AG614" i="2"/>
  <c r="O614" i="2"/>
  <c r="M614" i="2"/>
  <c r="H614" i="2"/>
  <c r="E614" i="2"/>
  <c r="AL613" i="2"/>
  <c r="E613" i="2"/>
  <c r="H612" i="2"/>
  <c r="E612" i="2"/>
  <c r="H611" i="2"/>
  <c r="E611" i="2"/>
  <c r="AL610" i="2"/>
  <c r="H610" i="2"/>
  <c r="E610" i="2"/>
  <c r="H609" i="2"/>
  <c r="E609" i="2"/>
  <c r="AO608" i="2"/>
  <c r="AN608" i="2"/>
  <c r="AF608" i="2"/>
  <c r="AE608" i="2"/>
  <c r="R608" i="2"/>
  <c r="Q608" i="2"/>
  <c r="H608" i="2"/>
  <c r="E608" i="2"/>
  <c r="W607" i="2"/>
  <c r="U607" i="2"/>
  <c r="H607" i="2"/>
  <c r="E607" i="2"/>
  <c r="AO606" i="2"/>
  <c r="AN606" i="2"/>
  <c r="AM606" i="2"/>
  <c r="AD606" i="2"/>
  <c r="AC606" i="2"/>
  <c r="AB606" i="2"/>
  <c r="H606" i="2"/>
  <c r="E606" i="2"/>
  <c r="X605" i="2"/>
  <c r="U605" i="2"/>
  <c r="H605" i="2"/>
  <c r="E605" i="2"/>
  <c r="R604" i="2"/>
  <c r="Q604" i="2"/>
  <c r="H604" i="2"/>
  <c r="E604" i="2"/>
  <c r="K603" i="2"/>
  <c r="I603" i="2"/>
  <c r="H603" i="2"/>
  <c r="E603" i="2"/>
  <c r="O602" i="2"/>
  <c r="M602" i="2"/>
  <c r="E602" i="2"/>
  <c r="AK601" i="2"/>
  <c r="H601" i="2"/>
  <c r="E601" i="2"/>
  <c r="H600" i="2"/>
  <c r="E600" i="2"/>
  <c r="AH599" i="2"/>
  <c r="AG599" i="2"/>
  <c r="H599" i="2"/>
  <c r="E599" i="2"/>
  <c r="AL369" i="2"/>
  <c r="H369" i="2"/>
  <c r="AF598" i="2"/>
  <c r="AE598" i="2"/>
  <c r="R598" i="2"/>
  <c r="Q598" i="2"/>
  <c r="H598" i="2"/>
  <c r="E598" i="2"/>
  <c r="AJ597" i="2"/>
  <c r="S597" i="2"/>
  <c r="Q597" i="2"/>
  <c r="H597" i="2"/>
  <c r="E597" i="2"/>
  <c r="AF596" i="2"/>
  <c r="R596" i="2"/>
  <c r="H596" i="2"/>
  <c r="E596" i="2"/>
  <c r="H595" i="2"/>
  <c r="E595" i="2"/>
  <c r="AO594" i="2"/>
  <c r="AN594" i="2"/>
  <c r="AM594" i="2"/>
  <c r="AD594" i="2"/>
  <c r="AC594" i="2"/>
  <c r="AB594" i="2"/>
  <c r="H594" i="2"/>
  <c r="E594" i="2"/>
  <c r="AF593" i="2"/>
  <c r="R593" i="2"/>
  <c r="H593" i="2"/>
  <c r="E593" i="2"/>
  <c r="AC592" i="2"/>
  <c r="H592" i="2"/>
  <c r="E592" i="2"/>
  <c r="AM591" i="2"/>
  <c r="V591" i="2"/>
  <c r="H591" i="2"/>
  <c r="E591" i="2"/>
  <c r="AA590" i="2"/>
  <c r="H590" i="2"/>
  <c r="E590" i="2"/>
  <c r="AJ589" i="2"/>
  <c r="AI589" i="2"/>
  <c r="H589" i="2"/>
  <c r="E589" i="2"/>
  <c r="AN588" i="2"/>
  <c r="AF588" i="2"/>
  <c r="AE588" i="2"/>
  <c r="R588" i="2"/>
  <c r="Q588" i="2"/>
  <c r="H588" i="2"/>
  <c r="E588" i="2"/>
  <c r="AI587" i="2"/>
  <c r="AH587" i="2"/>
  <c r="AG587" i="2"/>
  <c r="O587" i="2"/>
  <c r="M587" i="2"/>
  <c r="H587" i="2"/>
  <c r="E587" i="2"/>
  <c r="T586" i="2"/>
  <c r="L586" i="2"/>
  <c r="J586" i="2"/>
  <c r="H586" i="2"/>
  <c r="E586" i="2"/>
  <c r="H585" i="2"/>
  <c r="E585" i="2"/>
  <c r="S584" i="2"/>
  <c r="E584" i="2"/>
  <c r="P583" i="2"/>
  <c r="N583" i="2"/>
  <c r="H583" i="2"/>
  <c r="E583" i="2"/>
  <c r="H582" i="2"/>
  <c r="E582" i="2"/>
  <c r="AF581" i="2"/>
  <c r="AE581" i="2"/>
  <c r="R581" i="2"/>
  <c r="Q581" i="2"/>
  <c r="H581" i="2"/>
  <c r="E581" i="2"/>
  <c r="X580" i="2"/>
  <c r="U580" i="2"/>
  <c r="H580" i="2"/>
  <c r="E580" i="2"/>
  <c r="AA579" i="2"/>
  <c r="H579" i="2"/>
  <c r="E579" i="2"/>
  <c r="AO578" i="2"/>
  <c r="AN578" i="2"/>
  <c r="AB578" i="2"/>
  <c r="Y578" i="2"/>
  <c r="H578" i="2"/>
  <c r="E578" i="2"/>
  <c r="O577" i="2"/>
  <c r="M577" i="2"/>
  <c r="H577" i="2"/>
  <c r="E577" i="2"/>
  <c r="Z576" i="2"/>
  <c r="H576" i="2"/>
  <c r="E576" i="2"/>
  <c r="O575" i="2"/>
  <c r="M575" i="2"/>
  <c r="H575" i="2"/>
  <c r="E575" i="2"/>
  <c r="AI574" i="2"/>
  <c r="H574" i="2"/>
  <c r="E574" i="2"/>
  <c r="AK573" i="2"/>
  <c r="P573" i="2"/>
  <c r="H573" i="2"/>
  <c r="E573" i="2"/>
  <c r="H572" i="2"/>
  <c r="E572" i="2"/>
  <c r="Z571" i="2"/>
  <c r="H571" i="2"/>
  <c r="E571" i="2"/>
  <c r="AI570" i="2"/>
  <c r="AH570" i="2"/>
  <c r="AG570" i="2"/>
  <c r="S570" i="2"/>
  <c r="H570" i="2"/>
  <c r="E570" i="2"/>
  <c r="AL569" i="2"/>
  <c r="T569" i="2"/>
  <c r="O569" i="2"/>
  <c r="M569" i="2"/>
  <c r="H569" i="2"/>
  <c r="E569" i="2"/>
  <c r="AH568" i="2"/>
  <c r="AG568" i="2"/>
  <c r="P568" i="2"/>
  <c r="H568" i="2"/>
  <c r="E568" i="2"/>
  <c r="AO567" i="2"/>
  <c r="AN567" i="2"/>
  <c r="AL567" i="2"/>
  <c r="AF567" i="2"/>
  <c r="AE567" i="2"/>
  <c r="Q567" i="2"/>
  <c r="H567" i="2"/>
  <c r="E567" i="2"/>
  <c r="H566" i="2"/>
  <c r="E566" i="2"/>
  <c r="AK565" i="2"/>
  <c r="AA565" i="2"/>
  <c r="P565" i="2"/>
  <c r="N565" i="2"/>
  <c r="H565" i="2"/>
  <c r="E565" i="2"/>
  <c r="T564" i="2"/>
  <c r="H564" i="2"/>
  <c r="E564" i="2"/>
  <c r="AF563" i="2"/>
  <c r="AE563" i="2"/>
  <c r="R563" i="2"/>
  <c r="Q563" i="2"/>
  <c r="H563" i="2"/>
  <c r="E563" i="2"/>
  <c r="AI562" i="2"/>
  <c r="H562" i="2"/>
  <c r="E562" i="2"/>
  <c r="AD561" i="2"/>
  <c r="AC561" i="2"/>
  <c r="H561" i="2"/>
  <c r="E561" i="2"/>
  <c r="AM560" i="2"/>
  <c r="AB560" i="2"/>
  <c r="H560" i="2"/>
  <c r="E560" i="2"/>
  <c r="H559" i="2"/>
  <c r="E559" i="2"/>
  <c r="O558" i="2"/>
  <c r="M558" i="2"/>
  <c r="H558" i="2"/>
  <c r="E558" i="2"/>
  <c r="AK557" i="2"/>
  <c r="T557" i="2"/>
  <c r="H557" i="2"/>
  <c r="E557" i="2"/>
  <c r="H556" i="2"/>
  <c r="E556" i="2"/>
  <c r="O555" i="2"/>
  <c r="H555" i="2"/>
  <c r="E555" i="2"/>
  <c r="T554" i="2"/>
  <c r="E554" i="2"/>
  <c r="T553" i="2"/>
  <c r="O553" i="2"/>
  <c r="M553" i="2"/>
  <c r="E553" i="2"/>
  <c r="Z552" i="2"/>
  <c r="E552" i="2"/>
  <c r="O551" i="2"/>
  <c r="M551" i="2"/>
  <c r="H551" i="2"/>
  <c r="E551" i="2"/>
  <c r="AL550" i="2"/>
  <c r="AI550" i="2"/>
  <c r="AD550" i="2"/>
  <c r="AC550" i="2"/>
  <c r="Z550" i="2"/>
  <c r="O550" i="2"/>
  <c r="M550" i="2"/>
  <c r="H550" i="2"/>
  <c r="E550" i="2"/>
  <c r="U549" i="2"/>
  <c r="E549" i="2"/>
  <c r="O548" i="2"/>
  <c r="M548" i="2"/>
  <c r="H548" i="2"/>
  <c r="E548" i="2"/>
  <c r="AO547" i="2"/>
  <c r="AN547" i="2"/>
  <c r="Q547" i="2"/>
  <c r="H547" i="2"/>
  <c r="E547" i="2"/>
  <c r="AO546" i="2"/>
  <c r="AN546" i="2"/>
  <c r="AF546" i="2"/>
  <c r="AE546" i="2"/>
  <c r="H546" i="2"/>
  <c r="E546" i="2"/>
  <c r="AO545" i="2"/>
  <c r="AN545" i="2"/>
  <c r="R545" i="2"/>
  <c r="Q545" i="2"/>
  <c r="H545" i="2"/>
  <c r="E545" i="2"/>
  <c r="H544" i="2"/>
  <c r="E544" i="2"/>
  <c r="AO543" i="2"/>
  <c r="AN543" i="2"/>
  <c r="AM543" i="2"/>
  <c r="AB543" i="2"/>
  <c r="H543" i="2"/>
  <c r="E543" i="2"/>
  <c r="AE542" i="2"/>
  <c r="R542" i="2"/>
  <c r="Q542" i="2"/>
  <c r="H542" i="2"/>
  <c r="E542" i="2"/>
  <c r="H541" i="2"/>
  <c r="E541" i="2"/>
  <c r="T540" i="2"/>
  <c r="P540" i="2"/>
  <c r="N540" i="2"/>
  <c r="H540" i="2"/>
  <c r="E540" i="2"/>
  <c r="Y539" i="2"/>
  <c r="H539" i="2"/>
  <c r="E539" i="2"/>
  <c r="AO538" i="2"/>
  <c r="AN538" i="2"/>
  <c r="AM538" i="2"/>
  <c r="AB538" i="2"/>
  <c r="H538" i="2"/>
  <c r="E538" i="2"/>
  <c r="H537" i="2"/>
  <c r="E537" i="2"/>
  <c r="H536" i="2"/>
  <c r="E536" i="2"/>
  <c r="AJ535" i="2"/>
  <c r="H535" i="2"/>
  <c r="E535" i="2"/>
  <c r="AK534" i="2"/>
  <c r="AH534" i="2"/>
  <c r="AG534" i="2"/>
  <c r="H534" i="2"/>
  <c r="E534" i="2"/>
  <c r="AL533" i="2"/>
  <c r="AJ533" i="2"/>
  <c r="H533" i="2"/>
  <c r="E533" i="2"/>
  <c r="H532" i="2"/>
  <c r="E532" i="2"/>
  <c r="AO531" i="2"/>
  <c r="AN531" i="2"/>
  <c r="AF531" i="2"/>
  <c r="AE531" i="2"/>
  <c r="R531" i="2"/>
  <c r="Q531" i="2"/>
  <c r="E531" i="2"/>
  <c r="AK530" i="2"/>
  <c r="AA530" i="2"/>
  <c r="T530" i="2"/>
  <c r="P530" i="2"/>
  <c r="H530" i="2"/>
  <c r="E530" i="2"/>
  <c r="AO529" i="2"/>
  <c r="AN529" i="2"/>
  <c r="R529" i="2"/>
  <c r="Q529" i="2"/>
  <c r="E529" i="2"/>
  <c r="AJ528" i="2"/>
  <c r="AH528" i="2"/>
  <c r="L528" i="2"/>
  <c r="J528" i="2"/>
  <c r="E528" i="2"/>
  <c r="R527" i="2"/>
  <c r="H527" i="2"/>
  <c r="E527" i="2"/>
  <c r="AF526" i="2"/>
  <c r="AE526" i="2"/>
  <c r="R526" i="2"/>
  <c r="Q526" i="2"/>
  <c r="H526" i="2"/>
  <c r="E526" i="2"/>
  <c r="H525" i="2"/>
  <c r="E525" i="2"/>
  <c r="R524" i="2"/>
  <c r="H524" i="2"/>
  <c r="E524" i="2"/>
  <c r="H523" i="2"/>
  <c r="E523" i="2"/>
  <c r="X522" i="2"/>
  <c r="U522" i="2"/>
  <c r="H522" i="2"/>
  <c r="E522" i="2"/>
  <c r="AO521" i="2"/>
  <c r="AN521" i="2"/>
  <c r="AF521" i="2"/>
  <c r="AE521" i="2"/>
  <c r="R521" i="2"/>
  <c r="Q521" i="2"/>
  <c r="H521" i="2"/>
  <c r="E521" i="2"/>
  <c r="AC520" i="2"/>
  <c r="O520" i="2"/>
  <c r="M520" i="2"/>
  <c r="H520" i="2"/>
  <c r="E520" i="2"/>
  <c r="AJ519" i="2"/>
  <c r="AH519" i="2"/>
  <c r="H519" i="2"/>
  <c r="E519" i="2"/>
  <c r="P518" i="2"/>
  <c r="N518" i="2"/>
  <c r="H518" i="2"/>
  <c r="E518" i="2"/>
  <c r="R517" i="2"/>
  <c r="Q517" i="2"/>
  <c r="H517" i="2"/>
  <c r="E517" i="2"/>
  <c r="X516" i="2"/>
  <c r="U516" i="2"/>
  <c r="H516" i="2"/>
  <c r="E516" i="2"/>
  <c r="H515" i="2"/>
  <c r="E515" i="2"/>
  <c r="AL514" i="2"/>
  <c r="O514" i="2"/>
  <c r="M514" i="2"/>
  <c r="H514" i="2"/>
  <c r="E514" i="2"/>
  <c r="P513" i="2"/>
  <c r="H513" i="2"/>
  <c r="E513" i="2"/>
  <c r="H512" i="2"/>
  <c r="E512" i="2"/>
  <c r="AH511" i="2"/>
  <c r="AG511" i="2"/>
  <c r="AD511" i="2"/>
  <c r="AC511" i="2"/>
  <c r="H511" i="2"/>
  <c r="E511" i="2"/>
  <c r="AI510" i="2"/>
  <c r="S510" i="2"/>
  <c r="H510" i="2"/>
  <c r="E510" i="2"/>
  <c r="T509" i="2"/>
  <c r="H509" i="2"/>
  <c r="E509" i="2"/>
  <c r="Z508" i="2"/>
  <c r="H508" i="2"/>
  <c r="E508" i="2"/>
  <c r="P507" i="2"/>
  <c r="N507" i="2"/>
  <c r="H507" i="2"/>
  <c r="E507" i="2"/>
  <c r="H506" i="2"/>
  <c r="E506" i="2"/>
  <c r="H505" i="2"/>
  <c r="E505" i="2"/>
  <c r="AN504" i="2"/>
  <c r="AE504" i="2"/>
  <c r="R504" i="2"/>
  <c r="Q504" i="2"/>
  <c r="E504" i="2"/>
  <c r="H503" i="2"/>
  <c r="E503" i="2"/>
  <c r="R502" i="2"/>
  <c r="H502" i="2"/>
  <c r="E502" i="2"/>
  <c r="AI501" i="2"/>
  <c r="AA501" i="2"/>
  <c r="T501" i="2"/>
  <c r="P501" i="2"/>
  <c r="E501" i="2"/>
  <c r="AD500" i="2"/>
  <c r="AC500" i="2"/>
  <c r="Z500" i="2"/>
  <c r="O500" i="2"/>
  <c r="M500" i="2"/>
  <c r="H500" i="2"/>
  <c r="E500" i="2"/>
  <c r="Z499" i="2"/>
  <c r="T499" i="2"/>
  <c r="O499" i="2"/>
  <c r="M499" i="2"/>
  <c r="H499" i="2"/>
  <c r="E499" i="2"/>
  <c r="P498" i="2"/>
  <c r="N498" i="2"/>
  <c r="H498" i="2"/>
  <c r="E498" i="2"/>
  <c r="AF497" i="2"/>
  <c r="H497" i="2"/>
  <c r="E497" i="2"/>
  <c r="AG496" i="2"/>
  <c r="T496" i="2"/>
  <c r="P496" i="2"/>
  <c r="H496" i="2"/>
  <c r="E496" i="2"/>
  <c r="H495" i="2"/>
  <c r="E495" i="2"/>
  <c r="T494" i="2"/>
  <c r="P494" i="2"/>
  <c r="N494" i="2"/>
  <c r="E494" i="2"/>
  <c r="AA493" i="2"/>
  <c r="T493" i="2"/>
  <c r="P493" i="2"/>
  <c r="N493" i="2"/>
  <c r="H493" i="2"/>
  <c r="E493" i="2"/>
  <c r="AF492" i="2"/>
  <c r="AE492" i="2"/>
  <c r="R492" i="2"/>
  <c r="Q492" i="2"/>
  <c r="H492" i="2"/>
  <c r="E492" i="2"/>
  <c r="AO491" i="2"/>
  <c r="AN491" i="2"/>
  <c r="AB491" i="2"/>
  <c r="Y491" i="2"/>
  <c r="H491" i="2"/>
  <c r="E491" i="2"/>
  <c r="O490" i="2"/>
  <c r="H490" i="2"/>
  <c r="E490" i="2"/>
  <c r="AL489" i="2"/>
  <c r="H489" i="2"/>
  <c r="E489" i="2"/>
  <c r="AM488" i="2"/>
  <c r="AD488" i="2"/>
  <c r="AC488" i="2"/>
  <c r="AB488" i="2"/>
  <c r="Y488" i="2"/>
  <c r="V488" i="2"/>
  <c r="E488" i="2"/>
  <c r="AB487" i="2"/>
  <c r="H487" i="2"/>
  <c r="E487" i="2"/>
  <c r="AO486" i="2"/>
  <c r="AN486" i="2"/>
  <c r="AJ486" i="2"/>
  <c r="AH486" i="2"/>
  <c r="H486" i="2"/>
  <c r="E486" i="2"/>
  <c r="AI485" i="2"/>
  <c r="H485" i="2"/>
  <c r="E485" i="2"/>
  <c r="K484" i="2"/>
  <c r="I484" i="2"/>
  <c r="H484" i="2"/>
  <c r="E484" i="2"/>
  <c r="AA483" i="2"/>
  <c r="T483" i="2"/>
  <c r="N483" i="2"/>
  <c r="H483" i="2"/>
  <c r="E483" i="2"/>
  <c r="AO482" i="2"/>
  <c r="AN482" i="2"/>
  <c r="AF482" i="2"/>
  <c r="AE482" i="2"/>
  <c r="Q482" i="2"/>
  <c r="H482" i="2"/>
  <c r="E482" i="2"/>
  <c r="O481" i="2"/>
  <c r="M481" i="2"/>
  <c r="H481" i="2"/>
  <c r="E481" i="2"/>
  <c r="H480" i="2"/>
  <c r="E480" i="2"/>
  <c r="AA479" i="2"/>
  <c r="T479" i="2"/>
  <c r="P479" i="2"/>
  <c r="N479" i="2"/>
  <c r="H479" i="2"/>
  <c r="E479" i="2"/>
  <c r="AL478" i="2"/>
  <c r="Z478" i="2"/>
  <c r="H478" i="2"/>
  <c r="E478" i="2"/>
  <c r="S477" i="2"/>
  <c r="O477" i="2"/>
  <c r="H477" i="2"/>
  <c r="E477" i="2"/>
  <c r="O476" i="2"/>
  <c r="M476" i="2"/>
  <c r="H476" i="2"/>
  <c r="E476" i="2"/>
  <c r="H475" i="2"/>
  <c r="E475" i="2"/>
  <c r="H474" i="2"/>
  <c r="E474" i="2"/>
  <c r="AM473" i="2"/>
  <c r="AD473" i="2"/>
  <c r="AC473" i="2"/>
  <c r="AB473" i="2"/>
  <c r="E473" i="2"/>
  <c r="AL472" i="2"/>
  <c r="H472" i="2"/>
  <c r="E472" i="2"/>
  <c r="AJ471" i="2"/>
  <c r="T471" i="2"/>
  <c r="O471" i="2"/>
  <c r="M471" i="2"/>
  <c r="E471" i="2"/>
  <c r="H470" i="2"/>
  <c r="E470" i="2"/>
  <c r="AC469" i="2"/>
  <c r="S469" i="2"/>
  <c r="O469" i="2"/>
  <c r="M469" i="2"/>
  <c r="L469" i="2"/>
  <c r="J469" i="2"/>
  <c r="H469" i="2"/>
  <c r="E469" i="2"/>
  <c r="AH468" i="2"/>
  <c r="AG468" i="2"/>
  <c r="Z468" i="2"/>
  <c r="O468" i="2"/>
  <c r="M468" i="2"/>
  <c r="H468" i="2"/>
  <c r="E468" i="2"/>
  <c r="AI467" i="2"/>
  <c r="AD467" i="2"/>
  <c r="AC467" i="2"/>
  <c r="P467" i="2"/>
  <c r="N467" i="2"/>
  <c r="H467" i="2"/>
  <c r="E467" i="2"/>
  <c r="H466" i="2"/>
  <c r="E466" i="2"/>
  <c r="H465" i="2"/>
  <c r="E465" i="2"/>
  <c r="H464" i="2"/>
  <c r="E464" i="2"/>
  <c r="AI463" i="2"/>
  <c r="AC463" i="2"/>
  <c r="H463" i="2"/>
  <c r="E463" i="2"/>
  <c r="AH462" i="2"/>
  <c r="AG462" i="2"/>
  <c r="H462" i="2"/>
  <c r="E462" i="2"/>
  <c r="AM461" i="2"/>
  <c r="AB461" i="2"/>
  <c r="Y461" i="2"/>
  <c r="H461" i="2"/>
  <c r="E461" i="2"/>
  <c r="AH460" i="2"/>
  <c r="AD460" i="2"/>
  <c r="AC460" i="2"/>
  <c r="S460" i="2"/>
  <c r="O460" i="2"/>
  <c r="M460" i="2"/>
  <c r="L460" i="2"/>
  <c r="H460" i="2"/>
  <c r="E460" i="2"/>
  <c r="AI459" i="2"/>
  <c r="AH459" i="2"/>
  <c r="AG459" i="2"/>
  <c r="AD459" i="2"/>
  <c r="AC459" i="2"/>
  <c r="Z459" i="2"/>
  <c r="T459" i="2"/>
  <c r="O459" i="2"/>
  <c r="M459" i="2"/>
  <c r="H459" i="2"/>
  <c r="E459" i="2"/>
  <c r="AF458" i="2"/>
  <c r="H458" i="2"/>
  <c r="E458" i="2"/>
  <c r="AH457" i="2"/>
  <c r="AG457" i="2"/>
  <c r="S457" i="2"/>
  <c r="H457" i="2"/>
  <c r="E457" i="2"/>
  <c r="Z456" i="2"/>
  <c r="S456" i="2"/>
  <c r="H456" i="2"/>
  <c r="E456" i="2"/>
  <c r="AD455" i="2"/>
  <c r="AC455" i="2"/>
  <c r="H455" i="2"/>
  <c r="E455" i="2"/>
  <c r="AO454" i="2"/>
  <c r="AN454" i="2"/>
  <c r="Y454" i="2"/>
  <c r="H454" i="2"/>
  <c r="E454" i="2"/>
  <c r="AM453" i="2"/>
  <c r="AI453" i="2"/>
  <c r="AD453" i="2"/>
  <c r="AC453" i="2"/>
  <c r="AB453" i="2"/>
  <c r="H453" i="2"/>
  <c r="E453" i="2"/>
  <c r="AH452" i="2"/>
  <c r="AG452" i="2"/>
  <c r="AD452" i="2"/>
  <c r="AC452" i="2"/>
  <c r="H452" i="2"/>
  <c r="E452" i="2"/>
  <c r="AL451" i="2"/>
  <c r="AJ451" i="2"/>
  <c r="H451" i="2"/>
  <c r="E451" i="2"/>
  <c r="O450" i="2"/>
  <c r="M450" i="2"/>
  <c r="H450" i="2"/>
  <c r="E450" i="2"/>
  <c r="H449" i="2"/>
  <c r="E449" i="2"/>
  <c r="H448" i="2"/>
  <c r="E448" i="2"/>
  <c r="H447" i="2"/>
  <c r="E447" i="2"/>
  <c r="S446" i="2"/>
  <c r="O446" i="2"/>
  <c r="M446" i="2"/>
  <c r="H446" i="2"/>
  <c r="E446" i="2"/>
  <c r="AF445" i="2"/>
  <c r="AE445" i="2"/>
  <c r="R445" i="2"/>
  <c r="Q445" i="2"/>
  <c r="H445" i="2"/>
  <c r="E445" i="2"/>
  <c r="AF444" i="2"/>
  <c r="R444" i="2"/>
  <c r="H444" i="2"/>
  <c r="E444" i="2"/>
  <c r="AO443" i="2"/>
  <c r="AN443" i="2"/>
  <c r="AF443" i="2"/>
  <c r="AE443" i="2"/>
  <c r="R443" i="2"/>
  <c r="Q443" i="2"/>
  <c r="H443" i="2"/>
  <c r="E443" i="2"/>
  <c r="AD442" i="2"/>
  <c r="AC442" i="2"/>
  <c r="H442" i="2"/>
  <c r="E442" i="2"/>
  <c r="AI441" i="2"/>
  <c r="H441" i="2"/>
  <c r="E441" i="2"/>
  <c r="L440" i="2"/>
  <c r="J440" i="2"/>
  <c r="H440" i="2"/>
  <c r="E440" i="2"/>
  <c r="AI439" i="2"/>
  <c r="AD439" i="2"/>
  <c r="AC439" i="2"/>
  <c r="H439" i="2"/>
  <c r="E439" i="2"/>
  <c r="AO438" i="2"/>
  <c r="AN438" i="2"/>
  <c r="AD438" i="2"/>
  <c r="AC438" i="2"/>
  <c r="AB438" i="2"/>
  <c r="H438" i="2"/>
  <c r="E438" i="2"/>
  <c r="H437" i="2"/>
  <c r="E437" i="2"/>
  <c r="AF436" i="2"/>
  <c r="R436" i="2"/>
  <c r="H436" i="2"/>
  <c r="E436" i="2"/>
  <c r="T435" i="2"/>
  <c r="L435" i="2"/>
  <c r="H435" i="2"/>
  <c r="E435" i="2"/>
  <c r="AM434" i="2"/>
  <c r="AI434" i="2"/>
  <c r="AB434" i="2"/>
  <c r="Y434" i="2"/>
  <c r="H434" i="2"/>
  <c r="E434" i="2"/>
  <c r="AO433" i="2"/>
  <c r="AN433" i="2"/>
  <c r="AM433" i="2"/>
  <c r="AB433" i="2"/>
  <c r="H433" i="2"/>
  <c r="E433" i="2"/>
  <c r="AL432" i="2"/>
  <c r="H432" i="2"/>
  <c r="E432" i="2"/>
  <c r="AF431" i="2"/>
  <c r="AE431" i="2"/>
  <c r="R431" i="2"/>
  <c r="Q431" i="2"/>
  <c r="H431" i="2"/>
  <c r="E431" i="2"/>
  <c r="AD430" i="2"/>
  <c r="AC430" i="2"/>
  <c r="AB430" i="2"/>
  <c r="Y430" i="2"/>
  <c r="V430" i="2"/>
  <c r="H430" i="2"/>
  <c r="E430" i="2"/>
  <c r="Z429" i="2"/>
  <c r="H429" i="2"/>
  <c r="E429" i="2"/>
  <c r="AN428" i="2"/>
  <c r="H428" i="2"/>
  <c r="E428" i="2"/>
  <c r="AJ427" i="2"/>
  <c r="H427" i="2"/>
  <c r="E427" i="2"/>
  <c r="T426" i="2"/>
  <c r="P426" i="2"/>
  <c r="N426" i="2"/>
  <c r="H426" i="2"/>
  <c r="E426" i="2"/>
  <c r="Z425" i="2"/>
  <c r="O425" i="2"/>
  <c r="M425" i="2"/>
  <c r="H425" i="2"/>
  <c r="E425" i="2"/>
  <c r="AO424" i="2"/>
  <c r="AN424" i="2"/>
  <c r="AB424" i="2"/>
  <c r="Y424" i="2"/>
  <c r="H424" i="2"/>
  <c r="E424" i="2"/>
  <c r="AL423" i="2"/>
  <c r="AH423" i="2"/>
  <c r="AG423" i="2"/>
  <c r="T423" i="2"/>
  <c r="O423" i="2"/>
  <c r="M423" i="2"/>
  <c r="H423" i="2"/>
  <c r="E423" i="2"/>
  <c r="H422" i="2"/>
  <c r="E422" i="2"/>
  <c r="AI421" i="2"/>
  <c r="H421" i="2"/>
  <c r="E421" i="2"/>
  <c r="AO420" i="2"/>
  <c r="AN420" i="2"/>
  <c r="AF420" i="2"/>
  <c r="AE420" i="2"/>
  <c r="R420" i="2"/>
  <c r="Q420" i="2"/>
  <c r="H420" i="2"/>
  <c r="E420" i="2"/>
  <c r="AL419" i="2"/>
  <c r="AI419" i="2"/>
  <c r="Z419" i="2"/>
  <c r="H419" i="2"/>
  <c r="E419" i="2"/>
  <c r="K418" i="2"/>
  <c r="I418" i="2"/>
  <c r="H418" i="2"/>
  <c r="E418" i="2"/>
  <c r="AO417" i="2"/>
  <c r="AH417" i="2"/>
  <c r="AF417" i="2"/>
  <c r="S417" i="2"/>
  <c r="R417" i="2"/>
  <c r="H417" i="2"/>
  <c r="E417" i="2"/>
  <c r="T416" i="2"/>
  <c r="H416" i="2"/>
  <c r="E416" i="2"/>
  <c r="AH415" i="2"/>
  <c r="AG415" i="2"/>
  <c r="AD415" i="2"/>
  <c r="AC415" i="2"/>
  <c r="H415" i="2"/>
  <c r="E415" i="2"/>
  <c r="AB414" i="2"/>
  <c r="Y414" i="2"/>
  <c r="H414" i="2"/>
  <c r="E414" i="2"/>
  <c r="AF413" i="2"/>
  <c r="AE413" i="2"/>
  <c r="Q413" i="2"/>
  <c r="K413" i="2"/>
  <c r="I413" i="2"/>
  <c r="H413" i="2"/>
  <c r="E413" i="2"/>
  <c r="AH412" i="2"/>
  <c r="O412" i="2"/>
  <c r="M412" i="2"/>
  <c r="H412" i="2"/>
  <c r="E412" i="2"/>
  <c r="P411" i="2"/>
  <c r="N411" i="2"/>
  <c r="H411" i="2"/>
  <c r="E411" i="2"/>
  <c r="AI410" i="2"/>
  <c r="AD410" i="2"/>
  <c r="AC410" i="2"/>
  <c r="Z410" i="2"/>
  <c r="O410" i="2"/>
  <c r="M410" i="2"/>
  <c r="H410" i="2"/>
  <c r="E410" i="2"/>
  <c r="AI409" i="2"/>
  <c r="Z409" i="2"/>
  <c r="S409" i="2"/>
  <c r="L409" i="2"/>
  <c r="H409" i="2"/>
  <c r="E409" i="2"/>
  <c r="AJ408" i="2"/>
  <c r="S408" i="2"/>
  <c r="O408" i="2"/>
  <c r="M408" i="2"/>
  <c r="H408" i="2"/>
  <c r="E408" i="2"/>
  <c r="AO407" i="2"/>
  <c r="AN407" i="2"/>
  <c r="R407" i="2"/>
  <c r="Q407" i="2"/>
  <c r="H407" i="2"/>
  <c r="E407" i="2"/>
  <c r="AJ406" i="2"/>
  <c r="AI406" i="2"/>
  <c r="AD406" i="2"/>
  <c r="AC406" i="2"/>
  <c r="S406" i="2"/>
  <c r="H406" i="2"/>
  <c r="E406" i="2"/>
  <c r="AI405" i="2"/>
  <c r="Z405" i="2"/>
  <c r="O405" i="2"/>
  <c r="M405" i="2"/>
  <c r="H405" i="2"/>
  <c r="E405" i="2"/>
  <c r="T404" i="2"/>
  <c r="P404" i="2"/>
  <c r="N404" i="2"/>
  <c r="H404" i="2"/>
  <c r="E404" i="2"/>
  <c r="O403" i="2"/>
  <c r="M403" i="2"/>
  <c r="H403" i="2"/>
  <c r="E403" i="2"/>
  <c r="Z402" i="2"/>
  <c r="H402" i="2"/>
  <c r="E402" i="2"/>
  <c r="AD401" i="2"/>
  <c r="AC401" i="2"/>
  <c r="T401" i="2"/>
  <c r="H401" i="2"/>
  <c r="E401" i="2"/>
  <c r="H400" i="2"/>
  <c r="E400" i="2"/>
  <c r="AF399" i="2"/>
  <c r="AE399" i="2"/>
  <c r="R399" i="2"/>
  <c r="Q399" i="2"/>
  <c r="H399" i="2"/>
  <c r="E399" i="2"/>
  <c r="AI398" i="2"/>
  <c r="Z398" i="2"/>
  <c r="O398" i="2"/>
  <c r="M398" i="2"/>
  <c r="H398" i="2"/>
  <c r="E398" i="2"/>
  <c r="AO397" i="2"/>
  <c r="AN397" i="2"/>
  <c r="AB397" i="2"/>
  <c r="Y397" i="2"/>
  <c r="H397" i="2"/>
  <c r="E397" i="2"/>
  <c r="Z396" i="2"/>
  <c r="O396" i="2"/>
  <c r="M396" i="2"/>
  <c r="H396" i="2"/>
  <c r="E396" i="2"/>
  <c r="AI395" i="2"/>
  <c r="AD395" i="2"/>
  <c r="AC395" i="2"/>
  <c r="Z395" i="2"/>
  <c r="S395" i="2"/>
  <c r="O395" i="2"/>
  <c r="M395" i="2"/>
  <c r="H395" i="2"/>
  <c r="E395" i="2"/>
  <c r="AI394" i="2"/>
  <c r="AH394" i="2"/>
  <c r="AG394" i="2"/>
  <c r="AD394" i="2"/>
  <c r="H394" i="2"/>
  <c r="E394" i="2"/>
  <c r="AK393" i="2"/>
  <c r="AA393" i="2"/>
  <c r="T393" i="2"/>
  <c r="H393" i="2"/>
  <c r="E393" i="2"/>
  <c r="AI392" i="2"/>
  <c r="AD392" i="2"/>
  <c r="AC392" i="2"/>
  <c r="H392" i="2"/>
  <c r="E392" i="2"/>
  <c r="S391" i="2"/>
  <c r="H391" i="2"/>
  <c r="E391" i="2"/>
  <c r="AG390" i="2"/>
  <c r="Z390" i="2"/>
  <c r="O390" i="2"/>
  <c r="M390" i="2"/>
  <c r="H390" i="2"/>
  <c r="E390" i="2"/>
  <c r="AM389" i="2"/>
  <c r="AI389" i="2"/>
  <c r="AC389" i="2"/>
  <c r="H389" i="2"/>
  <c r="E389" i="2"/>
  <c r="AB388" i="2"/>
  <c r="Y388" i="2"/>
  <c r="H388" i="2"/>
  <c r="E388" i="2"/>
  <c r="AD387" i="2"/>
  <c r="AC387" i="2"/>
  <c r="T387" i="2"/>
  <c r="P387" i="2"/>
  <c r="N387" i="2"/>
  <c r="H387" i="2"/>
  <c r="E387" i="2"/>
  <c r="AO386" i="2"/>
  <c r="R386" i="2"/>
  <c r="Q386" i="2"/>
  <c r="H386" i="2"/>
  <c r="E386" i="2"/>
  <c r="AJ385" i="2"/>
  <c r="AI385" i="2"/>
  <c r="Z385" i="2"/>
  <c r="S385" i="2"/>
  <c r="H385" i="2"/>
  <c r="E385" i="2"/>
  <c r="H384" i="2"/>
  <c r="E384" i="2"/>
  <c r="AI383" i="2"/>
  <c r="AH383" i="2"/>
  <c r="AD383" i="2"/>
  <c r="AC383" i="2"/>
  <c r="Z383" i="2"/>
  <c r="T383" i="2"/>
  <c r="O383" i="2"/>
  <c r="M383" i="2"/>
  <c r="H383" i="2"/>
  <c r="E383" i="2"/>
  <c r="H382" i="2"/>
  <c r="E382" i="2"/>
  <c r="AK381" i="2"/>
  <c r="O381" i="2"/>
  <c r="M381" i="2"/>
  <c r="H381" i="2"/>
  <c r="E381" i="2"/>
  <c r="AO380" i="2"/>
  <c r="AN380" i="2"/>
  <c r="AB380" i="2"/>
  <c r="H380" i="2"/>
  <c r="E380" i="2"/>
  <c r="H379" i="2"/>
  <c r="E379" i="2"/>
  <c r="AO378" i="2"/>
  <c r="AN378" i="2"/>
  <c r="AF378" i="2"/>
  <c r="AE378" i="2"/>
  <c r="R378" i="2"/>
  <c r="Q378" i="2"/>
  <c r="H378" i="2"/>
  <c r="E378" i="2"/>
  <c r="H377" i="2"/>
  <c r="E377" i="2"/>
  <c r="H376" i="2"/>
  <c r="E376" i="2"/>
  <c r="AI375" i="2"/>
  <c r="AH375" i="2"/>
  <c r="AG375" i="2"/>
  <c r="AD375" i="2"/>
  <c r="AC375" i="2"/>
  <c r="Z375" i="2"/>
  <c r="S375" i="2"/>
  <c r="J375" i="2"/>
  <c r="H375" i="2"/>
  <c r="E375" i="2"/>
  <c r="H374" i="2"/>
  <c r="E374" i="2"/>
  <c r="AI373" i="2"/>
  <c r="Z373" i="2"/>
  <c r="O373" i="2"/>
  <c r="M373" i="2"/>
  <c r="H373" i="2"/>
  <c r="E373" i="2"/>
  <c r="H372" i="2"/>
  <c r="E372" i="2"/>
  <c r="AO371" i="2"/>
  <c r="AM371" i="2"/>
  <c r="AI371" i="2"/>
  <c r="AD371" i="2"/>
  <c r="AC371" i="2"/>
  <c r="AB371" i="2"/>
  <c r="K371" i="2"/>
  <c r="I371" i="2"/>
  <c r="H371" i="2"/>
  <c r="E371" i="2"/>
  <c r="H370" i="2"/>
  <c r="E370" i="2"/>
  <c r="AA368" i="2"/>
  <c r="T368" i="2"/>
  <c r="N368" i="2"/>
  <c r="H368" i="2"/>
  <c r="E368" i="2"/>
  <c r="AH367" i="2"/>
  <c r="AG367" i="2"/>
  <c r="AD367" i="2"/>
  <c r="AC367" i="2"/>
  <c r="O367" i="2"/>
  <c r="H367" i="2"/>
  <c r="E367" i="2"/>
  <c r="AD366" i="2"/>
  <c r="AC366" i="2"/>
  <c r="O366" i="2"/>
  <c r="M366" i="2"/>
  <c r="H366" i="2"/>
  <c r="E366" i="2"/>
  <c r="AA365" i="2"/>
  <c r="P365" i="2"/>
  <c r="N365" i="2"/>
  <c r="H365" i="2"/>
  <c r="E365" i="2"/>
  <c r="AB364" i="2"/>
  <c r="Y364" i="2"/>
  <c r="V364" i="2"/>
  <c r="H364" i="2"/>
  <c r="E364" i="2"/>
  <c r="AI363" i="2"/>
  <c r="AD363" i="2"/>
  <c r="H363" i="2"/>
  <c r="E363" i="2"/>
  <c r="AO362" i="2"/>
  <c r="AN362" i="2"/>
  <c r="AF362" i="2"/>
  <c r="AE362" i="2"/>
  <c r="R362" i="2"/>
  <c r="Q362" i="2"/>
  <c r="E362" i="2"/>
  <c r="H361" i="2"/>
  <c r="E361" i="2"/>
  <c r="AI360" i="2"/>
  <c r="Z360" i="2"/>
  <c r="H360" i="2"/>
  <c r="E360" i="2"/>
  <c r="AO359" i="2"/>
  <c r="AN359" i="2"/>
  <c r="AF359" i="2"/>
  <c r="AE359" i="2"/>
  <c r="H359" i="2"/>
  <c r="E359" i="2"/>
  <c r="H358" i="2"/>
  <c r="E358" i="2"/>
  <c r="AI357" i="2"/>
  <c r="AC357" i="2"/>
  <c r="H357" i="2"/>
  <c r="E357" i="2"/>
  <c r="H356" i="2"/>
  <c r="E356" i="2"/>
  <c r="AH355" i="2"/>
  <c r="AG355" i="2"/>
  <c r="S355" i="2"/>
  <c r="H355" i="2"/>
  <c r="E355" i="2"/>
  <c r="AD354" i="2"/>
  <c r="AC354" i="2"/>
  <c r="H354" i="2"/>
  <c r="E354" i="2"/>
  <c r="AI353" i="2"/>
  <c r="E353" i="2"/>
  <c r="AJ352" i="2"/>
  <c r="AI352" i="2"/>
  <c r="Z352" i="2"/>
  <c r="S352" i="2"/>
  <c r="H352" i="2"/>
  <c r="E352" i="2"/>
  <c r="O351" i="2"/>
  <c r="M351" i="2"/>
  <c r="H351" i="2"/>
  <c r="E351" i="2"/>
  <c r="AD350" i="2"/>
  <c r="AC350" i="2"/>
  <c r="H350" i="2"/>
  <c r="E350" i="2"/>
  <c r="T349" i="2"/>
  <c r="P349" i="2"/>
  <c r="N349" i="2"/>
  <c r="L349" i="2"/>
  <c r="J349" i="2"/>
  <c r="H349" i="2"/>
  <c r="E349" i="2"/>
  <c r="AH348" i="2"/>
  <c r="AG348" i="2"/>
  <c r="E348" i="2"/>
  <c r="AI347" i="2"/>
  <c r="AF347" i="2"/>
  <c r="H347" i="2"/>
  <c r="E347" i="2"/>
  <c r="H346" i="2"/>
  <c r="E346" i="2"/>
  <c r="Z345" i="2"/>
  <c r="S345" i="2"/>
  <c r="O345" i="2"/>
  <c r="M345" i="2"/>
  <c r="L345" i="2"/>
  <c r="J345" i="2"/>
  <c r="H345" i="2"/>
  <c r="E345" i="2"/>
  <c r="AO344" i="2"/>
  <c r="AN344" i="2"/>
  <c r="AM344" i="2"/>
  <c r="AD344" i="2"/>
  <c r="AC344" i="2"/>
  <c r="AB344" i="2"/>
  <c r="H344" i="2"/>
  <c r="E344" i="2"/>
  <c r="H343" i="2"/>
  <c r="E343" i="2"/>
  <c r="AO342" i="2"/>
  <c r="AL342" i="2"/>
  <c r="AF342" i="2"/>
  <c r="AE342" i="2"/>
  <c r="S342" i="2"/>
  <c r="R342" i="2"/>
  <c r="Q342" i="2"/>
  <c r="K342" i="2"/>
  <c r="I342" i="2"/>
  <c r="H342" i="2"/>
  <c r="E342" i="2"/>
  <c r="P341" i="2"/>
  <c r="N341" i="2"/>
  <c r="H341" i="2"/>
  <c r="E341" i="2"/>
  <c r="AD340" i="2"/>
  <c r="AC340" i="2"/>
  <c r="Z340" i="2"/>
  <c r="O340" i="2"/>
  <c r="M340" i="2"/>
  <c r="H340" i="2"/>
  <c r="E340" i="2"/>
  <c r="AD339" i="2"/>
  <c r="AC339" i="2"/>
  <c r="O339" i="2"/>
  <c r="M339" i="2"/>
  <c r="H339" i="2"/>
  <c r="E339" i="2"/>
  <c r="H338" i="2"/>
  <c r="E338" i="2"/>
  <c r="AI337" i="2"/>
  <c r="AH337" i="2"/>
  <c r="AG337" i="2"/>
  <c r="Z337" i="2"/>
  <c r="S337" i="2"/>
  <c r="O337" i="2"/>
  <c r="M337" i="2"/>
  <c r="H337" i="2"/>
  <c r="E337" i="2"/>
  <c r="O336" i="2"/>
  <c r="M336" i="2"/>
  <c r="H336" i="2"/>
  <c r="E336" i="2"/>
  <c r="AI335" i="2"/>
  <c r="Z335" i="2"/>
  <c r="O335" i="2"/>
  <c r="H335" i="2"/>
  <c r="E335" i="2"/>
  <c r="X334" i="2"/>
  <c r="U334" i="2"/>
  <c r="H334" i="2"/>
  <c r="E334" i="2"/>
  <c r="AF333" i="2"/>
  <c r="R333" i="2"/>
  <c r="H333" i="2"/>
  <c r="E333" i="2"/>
  <c r="AH332" i="2"/>
  <c r="AG332" i="2"/>
  <c r="AD332" i="2"/>
  <c r="AC332" i="2"/>
  <c r="Z332" i="2"/>
  <c r="H332" i="2"/>
  <c r="E332" i="2"/>
  <c r="AL331" i="2"/>
  <c r="AJ331" i="2"/>
  <c r="H331" i="2"/>
  <c r="E331" i="2"/>
  <c r="AD330" i="2"/>
  <c r="S330" i="2"/>
  <c r="E330" i="2"/>
  <c r="AI329" i="2"/>
  <c r="E329" i="2"/>
  <c r="S328" i="2"/>
  <c r="L328" i="2"/>
  <c r="J328" i="2"/>
  <c r="H328" i="2"/>
  <c r="E328" i="2"/>
  <c r="AF327" i="2"/>
  <c r="AE327" i="2"/>
  <c r="R327" i="2"/>
  <c r="Q327" i="2"/>
  <c r="K327" i="2"/>
  <c r="I327" i="2"/>
  <c r="H327" i="2"/>
  <c r="E327" i="2"/>
  <c r="AI326" i="2"/>
  <c r="Z326" i="2"/>
  <c r="T326" i="2"/>
  <c r="H326" i="2"/>
  <c r="E326" i="2"/>
  <c r="AL325" i="2"/>
  <c r="AJ325" i="2"/>
  <c r="L325" i="2"/>
  <c r="H325" i="2"/>
  <c r="E325" i="2"/>
  <c r="H324" i="2"/>
  <c r="E324" i="2"/>
  <c r="AA323" i="2"/>
  <c r="T323" i="2"/>
  <c r="P323" i="2"/>
  <c r="N323" i="2"/>
  <c r="H323" i="2"/>
  <c r="E323" i="2"/>
  <c r="H322" i="2"/>
  <c r="E322" i="2"/>
  <c r="L321" i="2"/>
  <c r="J321" i="2"/>
  <c r="H321" i="2"/>
  <c r="E321" i="2"/>
  <c r="AO320" i="2"/>
  <c r="AN320" i="2"/>
  <c r="AM320" i="2"/>
  <c r="AB320" i="2"/>
  <c r="H320" i="2"/>
  <c r="E320" i="2"/>
  <c r="AD319" i="2"/>
  <c r="AC319" i="2"/>
  <c r="S319" i="2"/>
  <c r="H319" i="2"/>
  <c r="E319" i="2"/>
  <c r="Z318" i="2"/>
  <c r="S318" i="2"/>
  <c r="H318" i="2"/>
  <c r="E318" i="2"/>
  <c r="AG317" i="2"/>
  <c r="S317" i="2"/>
  <c r="O317" i="2"/>
  <c r="M317" i="2"/>
  <c r="H317" i="2"/>
  <c r="E317" i="2"/>
  <c r="AO316" i="2"/>
  <c r="AN316" i="2"/>
  <c r="AF316" i="2"/>
  <c r="AE316" i="2"/>
  <c r="Q316" i="2"/>
  <c r="E316" i="2"/>
  <c r="AJ315" i="2"/>
  <c r="O315" i="2"/>
  <c r="M315" i="2"/>
  <c r="L315" i="2"/>
  <c r="J315" i="2"/>
  <c r="H315" i="2"/>
  <c r="E315" i="2"/>
  <c r="Z314" i="2"/>
  <c r="T314" i="2"/>
  <c r="O314" i="2"/>
  <c r="M314" i="2"/>
  <c r="H314" i="2"/>
  <c r="E314" i="2"/>
  <c r="AC313" i="2"/>
  <c r="S313" i="2"/>
  <c r="K313" i="2"/>
  <c r="I313" i="2"/>
  <c r="H313" i="2"/>
  <c r="E313" i="2"/>
  <c r="H254" i="2"/>
  <c r="AL312" i="2"/>
  <c r="O312" i="2"/>
  <c r="M312" i="2"/>
  <c r="H312" i="2"/>
  <c r="E312" i="2"/>
  <c r="AF311" i="2"/>
  <c r="R311" i="2"/>
  <c r="K311" i="2"/>
  <c r="I311" i="2"/>
  <c r="H311" i="2"/>
  <c r="E311" i="2"/>
  <c r="AD310" i="2"/>
  <c r="AC310" i="2"/>
  <c r="O310" i="2"/>
  <c r="M310" i="2"/>
  <c r="H310" i="2"/>
  <c r="E310" i="2"/>
  <c r="AL309" i="2"/>
  <c r="AI309" i="2"/>
  <c r="T309" i="2"/>
  <c r="H309" i="2"/>
  <c r="E309" i="2"/>
  <c r="AO308" i="2"/>
  <c r="AN308" i="2"/>
  <c r="AM308" i="2"/>
  <c r="AD308" i="2"/>
  <c r="AC308" i="2"/>
  <c r="AB308" i="2"/>
  <c r="H308" i="2"/>
  <c r="E308" i="2"/>
  <c r="H307" i="2"/>
  <c r="E307" i="2"/>
  <c r="AD306" i="2"/>
  <c r="AC306" i="2"/>
  <c r="H306" i="2"/>
  <c r="E306" i="2"/>
  <c r="AH305" i="2"/>
  <c r="AG305" i="2"/>
  <c r="AD305" i="2"/>
  <c r="AC305" i="2"/>
  <c r="H305" i="2"/>
  <c r="E305" i="2"/>
  <c r="AI304" i="2"/>
  <c r="AH304" i="2"/>
  <c r="AG304" i="2"/>
  <c r="H304" i="2"/>
  <c r="E304" i="2"/>
  <c r="AL303" i="2"/>
  <c r="Z303" i="2"/>
  <c r="E303" i="2"/>
  <c r="AO302" i="2"/>
  <c r="AN302" i="2"/>
  <c r="E302" i="2"/>
  <c r="AJ301" i="2"/>
  <c r="AI301" i="2"/>
  <c r="AH301" i="2"/>
  <c r="AG301" i="2"/>
  <c r="H301" i="2"/>
  <c r="E301" i="2"/>
  <c r="AL300" i="2"/>
  <c r="AE300" i="2"/>
  <c r="R300" i="2"/>
  <c r="Q300" i="2"/>
  <c r="H300" i="2"/>
  <c r="E300" i="2"/>
  <c r="AI299" i="2"/>
  <c r="Y299" i="2"/>
  <c r="V299" i="2"/>
  <c r="E299" i="2"/>
  <c r="AL298" i="2"/>
  <c r="AJ298" i="2"/>
  <c r="AI298" i="2"/>
  <c r="AF298" i="2"/>
  <c r="AE298" i="2"/>
  <c r="S298" i="2"/>
  <c r="R298" i="2"/>
  <c r="Q298" i="2"/>
  <c r="K298" i="2"/>
  <c r="H298" i="2"/>
  <c r="E298" i="2"/>
  <c r="AH297" i="2"/>
  <c r="AG297" i="2"/>
  <c r="S297" i="2"/>
  <c r="H297" i="2"/>
  <c r="E297" i="2"/>
  <c r="O296" i="2"/>
  <c r="M296" i="2"/>
  <c r="H296" i="2"/>
  <c r="E296" i="2"/>
  <c r="AJ295" i="2"/>
  <c r="AH295" i="2"/>
  <c r="AG295" i="2"/>
  <c r="E295" i="2"/>
  <c r="AJ294" i="2"/>
  <c r="AB294" i="2"/>
  <c r="H294" i="2"/>
  <c r="E294" i="2"/>
  <c r="AI293" i="2"/>
  <c r="AH293" i="2"/>
  <c r="AG293" i="2"/>
  <c r="AD293" i="2"/>
  <c r="AC293" i="2"/>
  <c r="H293" i="2"/>
  <c r="E293" i="2"/>
  <c r="AA292" i="2"/>
  <c r="T292" i="2"/>
  <c r="P292" i="2"/>
  <c r="N292" i="2"/>
  <c r="H292" i="2"/>
  <c r="E292" i="2"/>
  <c r="AO291" i="2"/>
  <c r="AN291" i="2"/>
  <c r="AB291" i="2"/>
  <c r="V291" i="2"/>
  <c r="H291" i="2"/>
  <c r="E291" i="2"/>
  <c r="T290" i="2"/>
  <c r="H290" i="2"/>
  <c r="E290" i="2"/>
  <c r="AD289" i="2"/>
  <c r="AC289" i="2"/>
  <c r="Z289" i="2"/>
  <c r="O289" i="2"/>
  <c r="M289" i="2"/>
  <c r="H289" i="2"/>
  <c r="E289" i="2"/>
  <c r="AD288" i="2"/>
  <c r="AC288" i="2"/>
  <c r="AB288" i="2"/>
  <c r="Y288" i="2"/>
  <c r="V288" i="2"/>
  <c r="S288" i="2"/>
  <c r="H288" i="2"/>
  <c r="E288" i="2"/>
  <c r="T287" i="2"/>
  <c r="O287" i="2"/>
  <c r="M287" i="2"/>
  <c r="H287" i="2"/>
  <c r="E287" i="2"/>
  <c r="AO286" i="2"/>
  <c r="AF286" i="2"/>
  <c r="AE286" i="2"/>
  <c r="S286" i="2"/>
  <c r="R286" i="2"/>
  <c r="Q286" i="2"/>
  <c r="H286" i="2"/>
  <c r="E286" i="2"/>
  <c r="AI285" i="2"/>
  <c r="AC285" i="2"/>
  <c r="S285" i="2"/>
  <c r="H285" i="2"/>
  <c r="E285" i="2"/>
  <c r="AJ284" i="2"/>
  <c r="AD284" i="2"/>
  <c r="AC284" i="2"/>
  <c r="H284" i="2"/>
  <c r="E284" i="2"/>
  <c r="AF283" i="2"/>
  <c r="H283" i="2"/>
  <c r="E283" i="2"/>
  <c r="AL282" i="2"/>
  <c r="AI282" i="2"/>
  <c r="Z282" i="2"/>
  <c r="S282" i="2"/>
  <c r="H282" i="2"/>
  <c r="E282" i="2"/>
  <c r="S281" i="2"/>
  <c r="H281" i="2"/>
  <c r="E281" i="2"/>
  <c r="AI280" i="2"/>
  <c r="AD280" i="2"/>
  <c r="AC280" i="2"/>
  <c r="H280" i="2"/>
  <c r="E280" i="2"/>
  <c r="AJ279" i="2"/>
  <c r="AD279" i="2"/>
  <c r="AC279" i="2"/>
  <c r="S279" i="2"/>
  <c r="H279" i="2"/>
  <c r="E279" i="2"/>
  <c r="T278" i="2"/>
  <c r="P278" i="2"/>
  <c r="N278" i="2"/>
  <c r="H278" i="2"/>
  <c r="E278" i="2"/>
  <c r="H277" i="2"/>
  <c r="E277" i="2"/>
  <c r="AM276" i="2"/>
  <c r="AI276" i="2"/>
  <c r="AD276" i="2"/>
  <c r="Y276" i="2"/>
  <c r="H276" i="2"/>
  <c r="E276" i="2"/>
  <c r="AF275" i="2"/>
  <c r="R275" i="2"/>
  <c r="H275" i="2"/>
  <c r="E275" i="2"/>
  <c r="AB274" i="2"/>
  <c r="Y274" i="2"/>
  <c r="H274" i="2"/>
  <c r="E274" i="2"/>
  <c r="AO273" i="2"/>
  <c r="AN273" i="2"/>
  <c r="AB273" i="2"/>
  <c r="H273" i="2"/>
  <c r="E273" i="2"/>
  <c r="AO272" i="2"/>
  <c r="AN272" i="2"/>
  <c r="AF272" i="2"/>
  <c r="AE272" i="2"/>
  <c r="R272" i="2"/>
  <c r="Q272" i="2"/>
  <c r="H272" i="2"/>
  <c r="E272" i="2"/>
  <c r="O271" i="2"/>
  <c r="M271" i="2"/>
  <c r="H271" i="2"/>
  <c r="E271" i="2"/>
  <c r="H270" i="2"/>
  <c r="E270" i="2"/>
  <c r="AL269" i="2"/>
  <c r="AI269" i="2"/>
  <c r="AH269" i="2"/>
  <c r="AG269" i="2"/>
  <c r="S269" i="2"/>
  <c r="H269" i="2"/>
  <c r="E269" i="2"/>
  <c r="AI268" i="2"/>
  <c r="AH268" i="2"/>
  <c r="AD268" i="2"/>
  <c r="AC268" i="2"/>
  <c r="S268" i="2"/>
  <c r="H268" i="2"/>
  <c r="E268" i="2"/>
  <c r="AH267" i="2"/>
  <c r="Z267" i="2"/>
  <c r="S267" i="2"/>
  <c r="H267" i="2"/>
  <c r="E267" i="2"/>
  <c r="H266" i="2"/>
  <c r="E266" i="2"/>
  <c r="AL265" i="2"/>
  <c r="H265" i="2"/>
  <c r="E265" i="2"/>
  <c r="AL264" i="2"/>
  <c r="AJ264" i="2"/>
  <c r="AI264" i="2"/>
  <c r="AH264" i="2"/>
  <c r="AG264" i="2"/>
  <c r="AD264" i="2"/>
  <c r="AC264" i="2"/>
  <c r="Z264" i="2"/>
  <c r="H264" i="2"/>
  <c r="E264" i="2"/>
  <c r="AI263" i="2"/>
  <c r="AH263" i="2"/>
  <c r="AD263" i="2"/>
  <c r="AC263" i="2"/>
  <c r="S263" i="2"/>
  <c r="H263" i="2"/>
  <c r="E263" i="2"/>
  <c r="H262" i="2"/>
  <c r="E262" i="2"/>
  <c r="AO261" i="2"/>
  <c r="AF261" i="2"/>
  <c r="AE261" i="2"/>
  <c r="R261" i="2"/>
  <c r="Q261" i="2"/>
  <c r="H261" i="2"/>
  <c r="E261" i="2"/>
  <c r="O260" i="2"/>
  <c r="M260" i="2"/>
  <c r="H260" i="2"/>
  <c r="E260" i="2"/>
  <c r="AL259" i="2"/>
  <c r="AJ259" i="2"/>
  <c r="AI259" i="2"/>
  <c r="AD259" i="2"/>
  <c r="AC259" i="2"/>
  <c r="Z259" i="2"/>
  <c r="S259" i="2"/>
  <c r="L259" i="2"/>
  <c r="J259" i="2"/>
  <c r="H259" i="2"/>
  <c r="E259" i="2"/>
  <c r="AG258" i="2"/>
  <c r="S258" i="2"/>
  <c r="H258" i="2"/>
  <c r="E258" i="2"/>
  <c r="Z257" i="2"/>
  <c r="E257" i="2"/>
  <c r="AD256" i="2"/>
  <c r="AC256" i="2"/>
  <c r="Z256" i="2"/>
  <c r="O256" i="2"/>
  <c r="M256" i="2"/>
  <c r="H256" i="2"/>
  <c r="E256" i="2"/>
  <c r="H255" i="2"/>
  <c r="E255" i="2"/>
  <c r="H253" i="2"/>
  <c r="E253" i="2"/>
  <c r="Z252" i="2"/>
  <c r="O252" i="2"/>
  <c r="M252" i="2"/>
  <c r="H252" i="2"/>
  <c r="E252" i="2"/>
  <c r="S251" i="2"/>
  <c r="H251" i="2"/>
  <c r="E251" i="2"/>
  <c r="R250" i="2"/>
  <c r="Q250" i="2"/>
  <c r="H250" i="2"/>
  <c r="E250" i="2"/>
  <c r="AA249" i="2"/>
  <c r="T249" i="2"/>
  <c r="P249" i="2"/>
  <c r="N249" i="2"/>
  <c r="H249" i="2"/>
  <c r="E249" i="2"/>
  <c r="AI248" i="2"/>
  <c r="AG248" i="2"/>
  <c r="AD248" i="2"/>
  <c r="AC248" i="2"/>
  <c r="S248" i="2"/>
  <c r="L248" i="2"/>
  <c r="J248" i="2"/>
  <c r="H248" i="2"/>
  <c r="E248" i="2"/>
  <c r="H191" i="2"/>
  <c r="AI247" i="2"/>
  <c r="Z247" i="2"/>
  <c r="H247" i="2"/>
  <c r="E247" i="2"/>
  <c r="AJ246" i="2"/>
  <c r="AI246" i="2"/>
  <c r="AH246" i="2"/>
  <c r="Z246" i="2"/>
  <c r="H246" i="2"/>
  <c r="E246" i="2"/>
  <c r="H189" i="2"/>
  <c r="H245" i="2"/>
  <c r="E245" i="2"/>
  <c r="AI244" i="2"/>
  <c r="S244" i="2"/>
  <c r="H244" i="2"/>
  <c r="E244" i="2"/>
  <c r="AL243" i="2"/>
  <c r="Z243" i="2"/>
  <c r="H243" i="2"/>
  <c r="E243" i="2"/>
  <c r="AO242" i="2"/>
  <c r="AN242" i="2"/>
  <c r="AB242" i="2"/>
  <c r="H242" i="2"/>
  <c r="E242" i="2"/>
  <c r="AL241" i="2"/>
  <c r="S241" i="2"/>
  <c r="H241" i="2"/>
  <c r="E241" i="2"/>
  <c r="H240" i="2"/>
  <c r="E240" i="2"/>
  <c r="AD239" i="2"/>
  <c r="AC239" i="2"/>
  <c r="Z239" i="2"/>
  <c r="H239" i="2"/>
  <c r="E239" i="2"/>
  <c r="O238" i="2"/>
  <c r="M238" i="2"/>
  <c r="H238" i="2"/>
  <c r="E238" i="2"/>
  <c r="AI237" i="2"/>
  <c r="AG237" i="2"/>
  <c r="AD237" i="2"/>
  <c r="AC237" i="2"/>
  <c r="Z237" i="2"/>
  <c r="S237" i="2"/>
  <c r="L237" i="2"/>
  <c r="J237" i="2"/>
  <c r="H237" i="2"/>
  <c r="E237" i="2"/>
  <c r="AH236" i="2"/>
  <c r="Z236" i="2"/>
  <c r="S236" i="2"/>
  <c r="H236" i="2"/>
  <c r="E236" i="2"/>
  <c r="AJ235" i="2"/>
  <c r="R235" i="2"/>
  <c r="Q235" i="2"/>
  <c r="I235" i="2"/>
  <c r="E235" i="2"/>
  <c r="S234" i="2"/>
  <c r="P234" i="2"/>
  <c r="N234" i="2"/>
  <c r="L234" i="2"/>
  <c r="H234" i="2"/>
  <c r="E234" i="2"/>
  <c r="AI233" i="2"/>
  <c r="AD233" i="2"/>
  <c r="AC233" i="2"/>
  <c r="S233" i="2"/>
  <c r="L233" i="2"/>
  <c r="J233" i="2"/>
  <c r="H233" i="2"/>
  <c r="E233" i="2"/>
  <c r="S232" i="2"/>
  <c r="H232" i="2"/>
  <c r="E232" i="2"/>
  <c r="AJ231" i="2"/>
  <c r="AI231" i="2"/>
  <c r="S231" i="2"/>
  <c r="H231" i="2"/>
  <c r="E231" i="2"/>
  <c r="AI230" i="2"/>
  <c r="AD230" i="2"/>
  <c r="K230" i="2"/>
  <c r="I230" i="2"/>
  <c r="E230" i="2"/>
  <c r="AI229" i="2"/>
  <c r="AD229" i="2"/>
  <c r="AC229" i="2"/>
  <c r="H229" i="2"/>
  <c r="E229" i="2"/>
  <c r="AD228" i="2"/>
  <c r="AC228" i="2"/>
  <c r="S228" i="2"/>
  <c r="H228" i="2"/>
  <c r="E228" i="2"/>
  <c r="AI227" i="2"/>
  <c r="AG227" i="2"/>
  <c r="AD227" i="2"/>
  <c r="AC227" i="2"/>
  <c r="H227" i="2"/>
  <c r="E227" i="2"/>
  <c r="AL226" i="2"/>
  <c r="H226" i="2"/>
  <c r="E226" i="2"/>
  <c r="AH225" i="2"/>
  <c r="AG225" i="2"/>
  <c r="AD225" i="2"/>
  <c r="AC225" i="2"/>
  <c r="S225" i="2"/>
  <c r="H225" i="2"/>
  <c r="E225" i="2"/>
  <c r="AG224" i="2"/>
  <c r="Z224" i="2"/>
  <c r="S224" i="2"/>
  <c r="H224" i="2"/>
  <c r="E224" i="2"/>
  <c r="AI223" i="2"/>
  <c r="AG223" i="2"/>
  <c r="AD223" i="2"/>
  <c r="H223" i="2"/>
  <c r="E223" i="2"/>
  <c r="H222" i="2"/>
  <c r="E222" i="2"/>
  <c r="AO221" i="2"/>
  <c r="AN221" i="2"/>
  <c r="AD221" i="2"/>
  <c r="AC221" i="2"/>
  <c r="AB221" i="2"/>
  <c r="H221" i="2"/>
  <c r="E221" i="2"/>
  <c r="AI220" i="2"/>
  <c r="AB220" i="2"/>
  <c r="Y220" i="2"/>
  <c r="V220" i="2"/>
  <c r="S220" i="2"/>
  <c r="H220" i="2"/>
  <c r="E220" i="2"/>
  <c r="AI219" i="2"/>
  <c r="AD219" i="2"/>
  <c r="AC219" i="2"/>
  <c r="K219" i="2"/>
  <c r="H219" i="2"/>
  <c r="E219" i="2"/>
  <c r="AI218" i="2"/>
  <c r="K218" i="2"/>
  <c r="I218" i="2"/>
  <c r="H218" i="2"/>
  <c r="E218" i="2"/>
  <c r="AL217" i="2"/>
  <c r="AH217" i="2"/>
  <c r="Z217" i="2"/>
  <c r="S217" i="2"/>
  <c r="O217" i="2"/>
  <c r="M217" i="2"/>
  <c r="L217" i="2"/>
  <c r="J217" i="2"/>
  <c r="H217" i="2"/>
  <c r="E217" i="2"/>
  <c r="AI216" i="2"/>
  <c r="Z216" i="2"/>
  <c r="O216" i="2"/>
  <c r="M216" i="2"/>
  <c r="H216" i="2"/>
  <c r="E216" i="2"/>
  <c r="AD215" i="2"/>
  <c r="AC215" i="2"/>
  <c r="Z215" i="2"/>
  <c r="O215" i="2"/>
  <c r="M215" i="2"/>
  <c r="H215" i="2"/>
  <c r="E215" i="2"/>
  <c r="S214" i="2"/>
  <c r="H214" i="2"/>
  <c r="E214" i="2"/>
  <c r="AO213" i="2"/>
  <c r="AL213" i="2"/>
  <c r="AI213" i="2"/>
  <c r="AF213" i="2"/>
  <c r="R213" i="2"/>
  <c r="K213" i="2"/>
  <c r="H213" i="2"/>
  <c r="E213" i="2"/>
  <c r="AI212" i="2"/>
  <c r="AD212" i="2"/>
  <c r="AC212" i="2"/>
  <c r="Z212" i="2"/>
  <c r="S212" i="2"/>
  <c r="L212" i="2"/>
  <c r="J212" i="2"/>
  <c r="H212" i="2"/>
  <c r="E212" i="2"/>
  <c r="AI211" i="2"/>
  <c r="AD211" i="2"/>
  <c r="AC211" i="2"/>
  <c r="H211" i="2"/>
  <c r="E211" i="2"/>
  <c r="AH210" i="2"/>
  <c r="AG210" i="2"/>
  <c r="AC210" i="2"/>
  <c r="S210" i="2"/>
  <c r="M210" i="2"/>
  <c r="L210" i="2"/>
  <c r="H210" i="2"/>
  <c r="E210" i="2"/>
  <c r="AH209" i="2"/>
  <c r="AG209" i="2"/>
  <c r="K209" i="2"/>
  <c r="I209" i="2"/>
  <c r="H209" i="2"/>
  <c r="E209" i="2"/>
  <c r="AL208" i="2"/>
  <c r="Z208" i="2"/>
  <c r="H208" i="2"/>
  <c r="E208" i="2"/>
  <c r="AL207" i="2"/>
  <c r="AI207" i="2"/>
  <c r="T207" i="2"/>
  <c r="H207" i="2"/>
  <c r="E207" i="2"/>
  <c r="AI206" i="2"/>
  <c r="AG206" i="2"/>
  <c r="AD206" i="2"/>
  <c r="AC206" i="2"/>
  <c r="S206" i="2"/>
  <c r="H206" i="2"/>
  <c r="E206" i="2"/>
  <c r="H205" i="2"/>
  <c r="E205" i="2"/>
  <c r="AI204" i="2"/>
  <c r="AH204" i="2"/>
  <c r="AG204" i="2"/>
  <c r="AD204" i="2"/>
  <c r="AC204" i="2"/>
  <c r="L204" i="2"/>
  <c r="J204" i="2"/>
  <c r="H204" i="2"/>
  <c r="E204" i="2"/>
  <c r="AH203" i="2"/>
  <c r="AG203" i="2"/>
  <c r="AF203" i="2"/>
  <c r="R203" i="2"/>
  <c r="H203" i="2"/>
  <c r="E203" i="2"/>
  <c r="AF202" i="2"/>
  <c r="R202" i="2"/>
  <c r="H202" i="2"/>
  <c r="E202" i="2"/>
  <c r="AD201" i="2"/>
  <c r="AC201" i="2"/>
  <c r="H201" i="2"/>
  <c r="E201" i="2"/>
  <c r="AD200" i="2"/>
  <c r="AC200" i="2"/>
  <c r="T200" i="2"/>
  <c r="O200" i="2"/>
  <c r="M200" i="2"/>
  <c r="H200" i="2"/>
  <c r="E200" i="2"/>
  <c r="AO199" i="2"/>
  <c r="AN199" i="2"/>
  <c r="AE199" i="2"/>
  <c r="Q199" i="2"/>
  <c r="H199" i="2"/>
  <c r="E199" i="2"/>
  <c r="AO198" i="2"/>
  <c r="AF198" i="2"/>
  <c r="R198" i="2"/>
  <c r="H198" i="2"/>
  <c r="E198" i="2"/>
  <c r="AH197" i="2"/>
  <c r="AG197" i="2"/>
  <c r="AD197" i="2"/>
  <c r="AC197" i="2"/>
  <c r="Z197" i="2"/>
  <c r="H197" i="2"/>
  <c r="E197" i="2"/>
  <c r="AI196" i="2"/>
  <c r="AH196" i="2"/>
  <c r="AG196" i="2"/>
  <c r="AD196" i="2"/>
  <c r="AC196" i="2"/>
  <c r="H196" i="2"/>
  <c r="E196" i="2"/>
  <c r="AO195" i="2"/>
  <c r="AL195" i="2"/>
  <c r="AF195" i="2"/>
  <c r="S195" i="2"/>
  <c r="K195" i="2"/>
  <c r="I195" i="2"/>
  <c r="H195" i="2"/>
  <c r="E195" i="2"/>
  <c r="AG194" i="2"/>
  <c r="AD194" i="2"/>
  <c r="AC194" i="2"/>
  <c r="L194" i="2"/>
  <c r="J194" i="2"/>
  <c r="H194" i="2"/>
  <c r="E194" i="2"/>
  <c r="AG193" i="2"/>
  <c r="S193" i="2"/>
  <c r="H193" i="2"/>
  <c r="E193" i="2"/>
  <c r="K192" i="2"/>
  <c r="I192" i="2"/>
  <c r="H192" i="2"/>
  <c r="E192" i="2"/>
  <c r="AO190" i="2"/>
  <c r="AN190" i="2"/>
  <c r="AJ190" i="2"/>
  <c r="AF190" i="2"/>
  <c r="AE190" i="2"/>
  <c r="R190" i="2"/>
  <c r="Q190" i="2"/>
  <c r="H190" i="2"/>
  <c r="E190" i="2"/>
  <c r="Z188" i="2"/>
  <c r="T188" i="2"/>
  <c r="O188" i="2"/>
  <c r="M188" i="2"/>
  <c r="H188" i="2"/>
  <c r="E188" i="2"/>
  <c r="H187" i="2"/>
  <c r="E187" i="2"/>
  <c r="S186" i="2"/>
  <c r="O186" i="2"/>
  <c r="M186" i="2"/>
  <c r="H186" i="2"/>
  <c r="E186" i="2"/>
  <c r="AD185" i="2"/>
  <c r="AC185" i="2"/>
  <c r="S185" i="2"/>
  <c r="K185" i="2"/>
  <c r="I185" i="2"/>
  <c r="H185" i="2"/>
  <c r="E185" i="2"/>
  <c r="AB184" i="2"/>
  <c r="Y184" i="2"/>
  <c r="V184" i="2"/>
  <c r="H184" i="2"/>
  <c r="E184" i="2"/>
  <c r="AI183" i="2"/>
  <c r="AC183" i="2"/>
  <c r="AB183" i="2"/>
  <c r="Y183" i="2"/>
  <c r="V183" i="2"/>
  <c r="H183" i="2"/>
  <c r="E183" i="2"/>
  <c r="AL182" i="2"/>
  <c r="AI182" i="2"/>
  <c r="AD182" i="2"/>
  <c r="AC182" i="2"/>
  <c r="S182" i="2"/>
  <c r="L182" i="2"/>
  <c r="H182" i="2"/>
  <c r="E182" i="2"/>
  <c r="AL181" i="2"/>
  <c r="AI181" i="2"/>
  <c r="AD181" i="2"/>
  <c r="AC181" i="2"/>
  <c r="Z181" i="2"/>
  <c r="H181" i="2"/>
  <c r="E181" i="2"/>
  <c r="AL180" i="2"/>
  <c r="AJ180" i="2"/>
  <c r="AI180" i="2"/>
  <c r="S180" i="2"/>
  <c r="L180" i="2"/>
  <c r="J180" i="2"/>
  <c r="H180" i="2"/>
  <c r="E180" i="2"/>
  <c r="AL179" i="2"/>
  <c r="Z179" i="2"/>
  <c r="S179" i="2"/>
  <c r="M179" i="2"/>
  <c r="H179" i="2"/>
  <c r="E179" i="2"/>
  <c r="AG178" i="2"/>
  <c r="AD178" i="2"/>
  <c r="AC178" i="2"/>
  <c r="S178" i="2"/>
  <c r="H178" i="2"/>
  <c r="E178" i="2"/>
  <c r="AL177" i="2"/>
  <c r="AD177" i="2"/>
  <c r="S177" i="2"/>
  <c r="H177" i="2"/>
  <c r="E177" i="2"/>
  <c r="H176" i="2"/>
  <c r="E176" i="2"/>
  <c r="Z175" i="2"/>
  <c r="L175" i="2"/>
  <c r="J175" i="2"/>
  <c r="H175" i="2"/>
  <c r="E175" i="2"/>
  <c r="H174" i="2"/>
  <c r="E174" i="2"/>
  <c r="AB173" i="2"/>
  <c r="Y173" i="2"/>
  <c r="V173" i="2"/>
  <c r="H173" i="2"/>
  <c r="E173" i="2"/>
  <c r="AL172" i="2"/>
  <c r="AB172" i="2"/>
  <c r="H172" i="2"/>
  <c r="E172" i="2"/>
  <c r="H171" i="2"/>
  <c r="E171" i="2"/>
  <c r="AD170" i="2"/>
  <c r="AC170" i="2"/>
  <c r="H170" i="2"/>
  <c r="E170" i="2"/>
  <c r="H169" i="2"/>
  <c r="E169" i="2"/>
  <c r="AO168" i="2"/>
  <c r="AF168" i="2"/>
  <c r="R168" i="2"/>
  <c r="H168" i="2"/>
  <c r="E168" i="2"/>
  <c r="I167" i="2"/>
  <c r="H167" i="2"/>
  <c r="E167" i="2"/>
  <c r="AH166" i="2"/>
  <c r="S166" i="2"/>
  <c r="H166" i="2"/>
  <c r="E166" i="2"/>
  <c r="AI165" i="2"/>
  <c r="AD165" i="2"/>
  <c r="AC165" i="2"/>
  <c r="L165" i="2"/>
  <c r="H165" i="2"/>
  <c r="E165" i="2"/>
  <c r="AB164" i="2"/>
  <c r="V164" i="2"/>
  <c r="H164" i="2"/>
  <c r="E164" i="2"/>
  <c r="AI163" i="2"/>
  <c r="AC163" i="2"/>
  <c r="S163" i="2"/>
  <c r="L163" i="2"/>
  <c r="J163" i="2"/>
  <c r="H163" i="2"/>
  <c r="E163" i="2"/>
  <c r="P162" i="2"/>
  <c r="N162" i="2"/>
  <c r="E162" i="2"/>
  <c r="AL161" i="2"/>
  <c r="AJ161" i="2"/>
  <c r="S161" i="2"/>
  <c r="H161" i="2"/>
  <c r="E161" i="2"/>
  <c r="AO160" i="2"/>
  <c r="AB160" i="2"/>
  <c r="Y160" i="2"/>
  <c r="V160" i="2"/>
  <c r="S160" i="2"/>
  <c r="H160" i="2"/>
  <c r="E160" i="2"/>
  <c r="H159" i="2"/>
  <c r="E159" i="2"/>
  <c r="AH158" i="2"/>
  <c r="AG158" i="2"/>
  <c r="S158" i="2"/>
  <c r="H158" i="2"/>
  <c r="E158" i="2"/>
  <c r="AI157" i="2"/>
  <c r="AD157" i="2"/>
  <c r="AC157" i="2"/>
  <c r="AB157" i="2"/>
  <c r="V157" i="2"/>
  <c r="H157" i="2"/>
  <c r="E157" i="2"/>
  <c r="AL156" i="2"/>
  <c r="AI156" i="2"/>
  <c r="AD156" i="2"/>
  <c r="AC156" i="2"/>
  <c r="H156" i="2"/>
  <c r="E156" i="2"/>
  <c r="AJ155" i="2"/>
  <c r="AI155" i="2"/>
  <c r="Z155" i="2"/>
  <c r="S155" i="2"/>
  <c r="H155" i="2"/>
  <c r="E155" i="2"/>
  <c r="S154" i="2"/>
  <c r="H154" i="2"/>
  <c r="E154" i="2"/>
  <c r="AO153" i="2"/>
  <c r="AL153" i="2"/>
  <c r="AF153" i="2"/>
  <c r="S153" i="2"/>
  <c r="R153" i="2"/>
  <c r="K153" i="2"/>
  <c r="I153" i="2"/>
  <c r="H153" i="2"/>
  <c r="E153" i="2"/>
  <c r="AL152" i="2"/>
  <c r="AI152" i="2"/>
  <c r="AH152" i="2"/>
  <c r="AG152" i="2"/>
  <c r="AD152" i="2"/>
  <c r="AC152" i="2"/>
  <c r="Z152" i="2"/>
  <c r="S152" i="2"/>
  <c r="O152" i="2"/>
  <c r="M152" i="2"/>
  <c r="H152" i="2"/>
  <c r="E152" i="2"/>
  <c r="AL151" i="2"/>
  <c r="AH151" i="2"/>
  <c r="AG151" i="2"/>
  <c r="H151" i="2"/>
  <c r="E151" i="2"/>
  <c r="AI150" i="2"/>
  <c r="AH150" i="2"/>
  <c r="AG150" i="2"/>
  <c r="AD150" i="2"/>
  <c r="AC150" i="2"/>
  <c r="S150" i="2"/>
  <c r="L150" i="2"/>
  <c r="J150" i="2"/>
  <c r="H150" i="2"/>
  <c r="E150" i="2"/>
  <c r="AI149" i="2"/>
  <c r="AH149" i="2"/>
  <c r="AG149" i="2"/>
  <c r="AD149" i="2"/>
  <c r="AC149" i="2"/>
  <c r="S149" i="2"/>
  <c r="H149" i="2"/>
  <c r="E149" i="2"/>
  <c r="P148" i="2"/>
  <c r="N148" i="2"/>
  <c r="H148" i="2"/>
  <c r="E148" i="2"/>
  <c r="AL147" i="2"/>
  <c r="AG147" i="2"/>
  <c r="Z147" i="2"/>
  <c r="O147" i="2"/>
  <c r="M147" i="2"/>
  <c r="H147" i="2"/>
  <c r="E147" i="2"/>
  <c r="S146" i="2"/>
  <c r="L146" i="2"/>
  <c r="J146" i="2"/>
  <c r="H146" i="2"/>
  <c r="E146" i="2"/>
  <c r="K145" i="2"/>
  <c r="I145" i="2"/>
  <c r="H145" i="2"/>
  <c r="E145" i="2"/>
  <c r="AL144" i="2"/>
  <c r="AJ144" i="2"/>
  <c r="AI144" i="2"/>
  <c r="AH144" i="2"/>
  <c r="AC144" i="2"/>
  <c r="Z144" i="2"/>
  <c r="S144" i="2"/>
  <c r="O144" i="2"/>
  <c r="M144" i="2"/>
  <c r="L144" i="2"/>
  <c r="J144" i="2"/>
  <c r="H144" i="2"/>
  <c r="E144" i="2"/>
  <c r="AL143" i="2"/>
  <c r="AI143" i="2"/>
  <c r="AH143" i="2"/>
  <c r="AG143" i="2"/>
  <c r="AD143" i="2"/>
  <c r="AC143" i="2"/>
  <c r="Z143" i="2"/>
  <c r="S143" i="2"/>
  <c r="L143" i="2"/>
  <c r="J143" i="2"/>
  <c r="H143" i="2"/>
  <c r="E143" i="2"/>
  <c r="AJ142" i="2"/>
  <c r="AI142" i="2"/>
  <c r="Z142" i="2"/>
  <c r="S142" i="2"/>
  <c r="H142" i="2"/>
  <c r="E142" i="2"/>
  <c r="Z141" i="2"/>
  <c r="O141" i="2"/>
  <c r="M141" i="2"/>
  <c r="H141" i="2"/>
  <c r="E141" i="2"/>
  <c r="Z140" i="2"/>
  <c r="L140" i="2"/>
  <c r="J140" i="2"/>
  <c r="H140" i="2"/>
  <c r="E140" i="2"/>
  <c r="Z139" i="2"/>
  <c r="S139" i="2"/>
  <c r="O139" i="2"/>
  <c r="M139" i="2"/>
  <c r="H139" i="2"/>
  <c r="E139" i="2"/>
  <c r="H138" i="2"/>
  <c r="E138" i="2"/>
  <c r="S137" i="2"/>
  <c r="L137" i="2"/>
  <c r="J137" i="2"/>
  <c r="H137" i="2"/>
  <c r="E137" i="2"/>
  <c r="S136" i="2"/>
  <c r="J136" i="2"/>
  <c r="H136" i="2"/>
  <c r="E136" i="2"/>
  <c r="H135" i="2"/>
  <c r="E135" i="2"/>
  <c r="I134" i="2"/>
  <c r="H134" i="2"/>
  <c r="E134" i="2"/>
  <c r="AH133" i="2"/>
  <c r="AG133" i="2"/>
  <c r="AD133" i="2"/>
  <c r="AC133" i="2"/>
  <c r="H133" i="2"/>
  <c r="E133" i="2"/>
  <c r="AI132" i="2"/>
  <c r="AD132" i="2"/>
  <c r="AC132" i="2"/>
  <c r="S132" i="2"/>
  <c r="L132" i="2"/>
  <c r="J132" i="2"/>
  <c r="H132" i="2"/>
  <c r="E132" i="2"/>
  <c r="AI131" i="2"/>
  <c r="AG131" i="2"/>
  <c r="AD131" i="2"/>
  <c r="AC131" i="2"/>
  <c r="S131" i="2"/>
  <c r="L131" i="2"/>
  <c r="J131" i="2"/>
  <c r="H131" i="2"/>
  <c r="E131" i="2"/>
  <c r="Z130" i="2"/>
  <c r="O130" i="2"/>
  <c r="M130" i="2"/>
  <c r="H130" i="2"/>
  <c r="E130" i="2"/>
  <c r="AB129" i="2"/>
  <c r="Y129" i="2"/>
  <c r="V129" i="2"/>
  <c r="K129" i="2"/>
  <c r="I129" i="2"/>
  <c r="H129" i="2"/>
  <c r="E129" i="2"/>
  <c r="AB128" i="2"/>
  <c r="Y128" i="2"/>
  <c r="V128" i="2"/>
  <c r="H128" i="2"/>
  <c r="E128" i="2"/>
  <c r="K127" i="2"/>
  <c r="I127" i="2"/>
  <c r="H127" i="2"/>
  <c r="E127" i="2"/>
  <c r="AK126" i="2"/>
  <c r="T126" i="2"/>
  <c r="L126" i="2"/>
  <c r="J126" i="2"/>
  <c r="H126" i="2"/>
  <c r="E126" i="2"/>
  <c r="AI125" i="2"/>
  <c r="AF125" i="2"/>
  <c r="S125" i="2"/>
  <c r="K125" i="2"/>
  <c r="I125" i="2"/>
  <c r="H125" i="2"/>
  <c r="E125" i="2"/>
  <c r="AL124" i="2"/>
  <c r="Z124" i="2"/>
  <c r="O124" i="2"/>
  <c r="M124" i="2"/>
  <c r="H124" i="2"/>
  <c r="E124" i="2"/>
  <c r="H123" i="2"/>
  <c r="E123" i="2"/>
  <c r="AO122" i="2"/>
  <c r="AI122" i="2"/>
  <c r="AD122" i="2"/>
  <c r="AB122" i="2"/>
  <c r="K122" i="2"/>
  <c r="I122" i="2"/>
  <c r="H122" i="2"/>
  <c r="E122" i="2"/>
  <c r="AJ121" i="2"/>
  <c r="AI121" i="2"/>
  <c r="AH121" i="2"/>
  <c r="AD121" i="2"/>
  <c r="AC121" i="2"/>
  <c r="Z121" i="2"/>
  <c r="S121" i="2"/>
  <c r="H121" i="2"/>
  <c r="E121" i="2"/>
  <c r="AL120" i="2"/>
  <c r="AJ120" i="2"/>
  <c r="AB120" i="2"/>
  <c r="V120" i="2"/>
  <c r="H120" i="2"/>
  <c r="E120" i="2"/>
  <c r="AD119" i="2"/>
  <c r="AC119" i="2"/>
  <c r="K119" i="2"/>
  <c r="I119" i="2"/>
  <c r="H119" i="2"/>
  <c r="E119" i="2"/>
  <c r="S118" i="2"/>
  <c r="L118" i="2"/>
  <c r="J118" i="2"/>
  <c r="H118" i="2"/>
  <c r="E118" i="2"/>
  <c r="AG117" i="2"/>
  <c r="AD117" i="2"/>
  <c r="AC117" i="2"/>
  <c r="H117" i="2"/>
  <c r="E117" i="2"/>
  <c r="AH116" i="2"/>
  <c r="AG116" i="2"/>
  <c r="AD116" i="2"/>
  <c r="AC116" i="2"/>
  <c r="H116" i="2"/>
  <c r="E116" i="2"/>
  <c r="AL115" i="2"/>
  <c r="O115" i="2"/>
  <c r="M115" i="2"/>
  <c r="H115" i="2"/>
  <c r="E115" i="2"/>
  <c r="AD114" i="2"/>
  <c r="AC114" i="2"/>
  <c r="AB114" i="2"/>
  <c r="Y114" i="2"/>
  <c r="V114" i="2"/>
  <c r="H114" i="2"/>
  <c r="E114" i="2"/>
  <c r="AI113" i="2"/>
  <c r="AD113" i="2"/>
  <c r="AC113" i="2"/>
  <c r="AA113" i="2"/>
  <c r="S113" i="2"/>
  <c r="L113" i="2"/>
  <c r="J113" i="2"/>
  <c r="H113" i="2"/>
  <c r="E113" i="2"/>
  <c r="AH112" i="2"/>
  <c r="AD112" i="2"/>
  <c r="AC112" i="2"/>
  <c r="Z112" i="2"/>
  <c r="S112" i="2"/>
  <c r="O112" i="2"/>
  <c r="M112" i="2"/>
  <c r="L112" i="2"/>
  <c r="J112" i="2"/>
  <c r="H112" i="2"/>
  <c r="E112" i="2"/>
  <c r="AH111" i="2"/>
  <c r="AG111" i="2"/>
  <c r="AD111" i="2"/>
  <c r="AC111" i="2"/>
  <c r="S111" i="2"/>
  <c r="L111" i="2"/>
  <c r="H111" i="2"/>
  <c r="E111" i="2"/>
  <c r="AL110" i="2"/>
  <c r="AJ110" i="2"/>
  <c r="K110" i="2"/>
  <c r="H110" i="2"/>
  <c r="E110" i="2"/>
  <c r="H109" i="2"/>
  <c r="E109" i="2"/>
  <c r="AJ108" i="2"/>
  <c r="S108" i="2"/>
  <c r="L108" i="2"/>
  <c r="J108" i="2"/>
  <c r="H108" i="2"/>
  <c r="E108" i="2"/>
  <c r="AL107" i="2"/>
  <c r="Z107" i="2"/>
  <c r="H107" i="2"/>
  <c r="E107" i="2"/>
  <c r="AL106" i="2"/>
  <c r="AJ106" i="2"/>
  <c r="AG106" i="2"/>
  <c r="AD106" i="2"/>
  <c r="AC106" i="2"/>
  <c r="S106" i="2"/>
  <c r="H106" i="2"/>
  <c r="E106" i="2"/>
  <c r="AI105" i="2"/>
  <c r="AH105" i="2"/>
  <c r="AD105" i="2"/>
  <c r="AC105" i="2"/>
  <c r="H105" i="2"/>
  <c r="E105" i="2"/>
  <c r="AL104" i="2"/>
  <c r="AJ104" i="2"/>
  <c r="AI104" i="2"/>
  <c r="AH104" i="2"/>
  <c r="S104" i="2"/>
  <c r="L104" i="2"/>
  <c r="J104" i="2"/>
  <c r="H104" i="2"/>
  <c r="E104" i="2"/>
  <c r="AO103" i="2"/>
  <c r="AF103" i="2"/>
  <c r="R103" i="2"/>
  <c r="K103" i="2"/>
  <c r="H103" i="2"/>
  <c r="E103" i="2"/>
  <c r="AI102" i="2"/>
  <c r="AD102" i="2"/>
  <c r="AC102" i="2"/>
  <c r="Z102" i="2"/>
  <c r="T102" i="2"/>
  <c r="O102" i="2"/>
  <c r="M102" i="2"/>
  <c r="H102" i="2"/>
  <c r="E102" i="2"/>
  <c r="K101" i="2"/>
  <c r="I101" i="2"/>
  <c r="H101" i="2"/>
  <c r="E101" i="2"/>
  <c r="AB100" i="2"/>
  <c r="Y100" i="2"/>
  <c r="V100" i="2"/>
  <c r="H100" i="2"/>
  <c r="E100" i="2"/>
  <c r="S99" i="2"/>
  <c r="H99" i="2"/>
  <c r="E99" i="2"/>
  <c r="AI98" i="2"/>
  <c r="K98" i="2"/>
  <c r="H98" i="2"/>
  <c r="E98" i="2"/>
  <c r="AI97" i="2"/>
  <c r="AF97" i="2"/>
  <c r="R97" i="2"/>
  <c r="I97" i="2"/>
  <c r="H97" i="2"/>
  <c r="E97" i="2"/>
  <c r="AL96" i="2"/>
  <c r="AJ96" i="2"/>
  <c r="AI96" i="2"/>
  <c r="AG96" i="2"/>
  <c r="AD96" i="2"/>
  <c r="AC96" i="2"/>
  <c r="O96" i="2"/>
  <c r="M96" i="2"/>
  <c r="H96" i="2"/>
  <c r="E96" i="2"/>
  <c r="AD95" i="2"/>
  <c r="AC95" i="2"/>
  <c r="L95" i="2"/>
  <c r="J95" i="2"/>
  <c r="H95" i="2"/>
  <c r="E95" i="2"/>
  <c r="Z94" i="2"/>
  <c r="S94" i="2"/>
  <c r="L94" i="2"/>
  <c r="J94" i="2"/>
  <c r="H94" i="2"/>
  <c r="E94" i="2"/>
  <c r="AJ93" i="2"/>
  <c r="S93" i="2"/>
  <c r="H93" i="2"/>
  <c r="E93" i="2"/>
  <c r="AI92" i="2"/>
  <c r="AG92" i="2"/>
  <c r="AD92" i="2"/>
  <c r="AC92" i="2"/>
  <c r="H92" i="2"/>
  <c r="E92" i="2"/>
  <c r="AI91" i="2"/>
  <c r="AD91" i="2"/>
  <c r="AC91" i="2"/>
  <c r="Z91" i="2"/>
  <c r="T91" i="2"/>
  <c r="H91" i="2"/>
  <c r="E91" i="2"/>
  <c r="S90" i="2"/>
  <c r="I90" i="2"/>
  <c r="H90" i="2"/>
  <c r="E90" i="2"/>
  <c r="AI89" i="2"/>
  <c r="H89" i="2"/>
  <c r="E89" i="2"/>
  <c r="S88" i="2"/>
  <c r="L88" i="2"/>
  <c r="J88" i="2"/>
  <c r="H88" i="2"/>
  <c r="E88" i="2"/>
  <c r="AF87" i="2"/>
  <c r="R87" i="2"/>
  <c r="K87" i="2"/>
  <c r="I87" i="2"/>
  <c r="H87" i="2"/>
  <c r="E87" i="2"/>
  <c r="S86" i="2"/>
  <c r="L86" i="2"/>
  <c r="J86" i="2"/>
  <c r="H86" i="2"/>
  <c r="E86" i="2"/>
  <c r="AH85" i="2"/>
  <c r="AG85" i="2"/>
  <c r="AD85" i="2"/>
  <c r="AC85" i="2"/>
  <c r="Z85" i="2"/>
  <c r="H85" i="2"/>
  <c r="E85" i="2"/>
  <c r="K84" i="2"/>
  <c r="I84" i="2"/>
  <c r="H84" i="2"/>
  <c r="E84" i="2"/>
  <c r="AJ83" i="2"/>
  <c r="AI83" i="2"/>
  <c r="AH83" i="2"/>
  <c r="AG83" i="2"/>
  <c r="AD83" i="2"/>
  <c r="AC83" i="2"/>
  <c r="Z83" i="2"/>
  <c r="O83" i="2"/>
  <c r="M83" i="2"/>
  <c r="L83" i="2"/>
  <c r="J83" i="2"/>
  <c r="H83" i="2"/>
  <c r="E83" i="2"/>
  <c r="K82" i="2"/>
  <c r="I82" i="2"/>
  <c r="H82" i="2"/>
  <c r="E82" i="2"/>
  <c r="AI81" i="2"/>
  <c r="AC81" i="2"/>
  <c r="AB81" i="2"/>
  <c r="V81" i="2"/>
  <c r="K81" i="2"/>
  <c r="I81" i="2"/>
  <c r="H81" i="2"/>
  <c r="E81" i="2"/>
  <c r="AI80" i="2"/>
  <c r="AD80" i="2"/>
  <c r="AC80" i="2"/>
  <c r="H80" i="2"/>
  <c r="E80" i="2"/>
  <c r="AB79" i="2"/>
  <c r="Y79" i="2"/>
  <c r="V79" i="2"/>
  <c r="K79" i="2"/>
  <c r="I79" i="2"/>
  <c r="H79" i="2"/>
  <c r="E79" i="2"/>
  <c r="K78" i="2"/>
  <c r="I78" i="2"/>
  <c r="H78" i="2"/>
  <c r="E78" i="2"/>
  <c r="AL77" i="2"/>
  <c r="AH77" i="2"/>
  <c r="AG77" i="2"/>
  <c r="AC77" i="2"/>
  <c r="S77" i="2"/>
  <c r="L77" i="2"/>
  <c r="J77" i="2"/>
  <c r="H77" i="2"/>
  <c r="E77" i="2"/>
  <c r="AK76" i="2"/>
  <c r="Z76" i="2"/>
  <c r="S76" i="2"/>
  <c r="M76" i="2"/>
  <c r="L76" i="2"/>
  <c r="J76" i="2"/>
  <c r="H76" i="2"/>
  <c r="E76" i="2"/>
  <c r="K75" i="2"/>
  <c r="I75" i="2"/>
  <c r="H75" i="2"/>
  <c r="E75" i="2"/>
  <c r="K74" i="2"/>
  <c r="I74" i="2"/>
  <c r="H74" i="2"/>
  <c r="E74" i="2"/>
  <c r="S73" i="2"/>
  <c r="L73" i="2"/>
  <c r="J73" i="2"/>
  <c r="H73" i="2"/>
  <c r="E73" i="2"/>
  <c r="AL72" i="2"/>
  <c r="AH72" i="2"/>
  <c r="AG72" i="2"/>
  <c r="S72" i="2"/>
  <c r="H72" i="2"/>
  <c r="E72" i="2"/>
  <c r="K71" i="2"/>
  <c r="I71" i="2"/>
  <c r="H71" i="2"/>
  <c r="E71" i="2"/>
  <c r="AB70" i="2"/>
  <c r="V70" i="2"/>
  <c r="S70" i="2"/>
  <c r="H70" i="2"/>
  <c r="E70" i="2"/>
  <c r="AL69" i="2"/>
  <c r="S69" i="2"/>
  <c r="K69" i="2"/>
  <c r="I69" i="2"/>
  <c r="H69" i="2"/>
  <c r="E69" i="2"/>
  <c r="AJ68" i="2"/>
  <c r="H68" i="2"/>
  <c r="E68" i="2"/>
  <c r="AH67" i="2"/>
  <c r="AG67" i="2"/>
  <c r="S67" i="2"/>
  <c r="H67" i="2"/>
  <c r="E67" i="2"/>
  <c r="AO66" i="2"/>
  <c r="AM66" i="2"/>
  <c r="AJ66" i="2"/>
  <c r="H66" i="2"/>
  <c r="E66" i="2"/>
  <c r="AO65" i="2"/>
  <c r="AB65" i="2"/>
  <c r="Y65" i="2"/>
  <c r="V65" i="2"/>
  <c r="H65" i="2"/>
  <c r="E65" i="2"/>
  <c r="AH64" i="2"/>
  <c r="AG64" i="2"/>
  <c r="H64" i="2"/>
  <c r="E64" i="2"/>
  <c r="K63" i="2"/>
  <c r="I63" i="2"/>
  <c r="E63" i="2"/>
  <c r="K62" i="2"/>
  <c r="I62" i="2"/>
  <c r="H62" i="2"/>
  <c r="E62" i="2"/>
  <c r="Z61" i="2"/>
  <c r="S61" i="2"/>
  <c r="H61" i="2"/>
  <c r="E61" i="2"/>
  <c r="H60" i="2"/>
  <c r="E60" i="2"/>
  <c r="K59" i="2"/>
  <c r="I59" i="2"/>
  <c r="H59" i="2"/>
  <c r="E59" i="2"/>
  <c r="AI58" i="2"/>
  <c r="AG58" i="2"/>
  <c r="AD58" i="2"/>
  <c r="AC58" i="2"/>
  <c r="L58" i="2"/>
  <c r="J58" i="2"/>
  <c r="H58" i="2"/>
  <c r="E58" i="2"/>
  <c r="AJ57" i="2"/>
  <c r="AI57" i="2"/>
  <c r="Z57" i="2"/>
  <c r="S57" i="2"/>
  <c r="O57" i="2"/>
  <c r="M57" i="2"/>
  <c r="L57" i="2"/>
  <c r="H57" i="2"/>
  <c r="E57" i="2"/>
  <c r="AI56" i="2"/>
  <c r="AB56" i="2"/>
  <c r="Y56" i="2"/>
  <c r="V56" i="2"/>
  <c r="S56" i="2"/>
  <c r="H56" i="2"/>
  <c r="E56" i="2"/>
  <c r="AB55" i="2"/>
  <c r="Y55" i="2"/>
  <c r="V55" i="2"/>
  <c r="S55" i="2"/>
  <c r="H55" i="2"/>
  <c r="E55" i="2"/>
  <c r="I54" i="2"/>
  <c r="H54" i="2"/>
  <c r="E54" i="2"/>
  <c r="K53" i="2"/>
  <c r="I53" i="2"/>
  <c r="H53" i="2"/>
  <c r="E53" i="2"/>
  <c r="AH52" i="2"/>
  <c r="AG52" i="2"/>
  <c r="S52" i="2"/>
  <c r="K52" i="2"/>
  <c r="I52" i="2"/>
  <c r="H52" i="2"/>
  <c r="E52" i="2"/>
  <c r="AD51" i="2"/>
  <c r="AC51" i="2"/>
  <c r="L51" i="2"/>
  <c r="J51" i="2"/>
  <c r="H51" i="2"/>
  <c r="E51" i="2"/>
  <c r="AJ50" i="2"/>
  <c r="S50" i="2"/>
  <c r="H50" i="2"/>
  <c r="E50" i="2"/>
  <c r="L49" i="2"/>
  <c r="H49" i="2"/>
  <c r="E49" i="2"/>
  <c r="AO48" i="2"/>
  <c r="AI48" i="2"/>
  <c r="AF48" i="2"/>
  <c r="AD48" i="2"/>
  <c r="Y48" i="2"/>
  <c r="V48" i="2"/>
  <c r="S48" i="2"/>
  <c r="R48" i="2"/>
  <c r="K48" i="2"/>
  <c r="I48" i="2"/>
  <c r="H48" i="2"/>
  <c r="E48" i="2"/>
  <c r="AI47" i="2"/>
  <c r="AH47" i="2"/>
  <c r="AG47" i="2"/>
  <c r="H47" i="2"/>
  <c r="E47" i="2"/>
  <c r="L46" i="2"/>
  <c r="J46" i="2"/>
  <c r="H46" i="2"/>
  <c r="E46" i="2"/>
  <c r="AJ45" i="2"/>
  <c r="AH45" i="2"/>
  <c r="AG45" i="2"/>
  <c r="S45" i="2"/>
  <c r="L45" i="2"/>
  <c r="J45" i="2"/>
  <c r="H45" i="2"/>
  <c r="E45" i="2"/>
  <c r="AL44" i="2"/>
  <c r="K44" i="2"/>
  <c r="I44" i="2"/>
  <c r="H44" i="2"/>
  <c r="E44" i="2"/>
  <c r="L43" i="2"/>
  <c r="J43" i="2"/>
  <c r="H43" i="2"/>
  <c r="E43" i="2"/>
  <c r="AH42" i="2"/>
  <c r="AG42" i="2"/>
  <c r="K42" i="2"/>
  <c r="I42" i="2"/>
  <c r="H42" i="2"/>
  <c r="E42" i="2"/>
  <c r="S41" i="2"/>
  <c r="L41" i="2"/>
  <c r="J41" i="2"/>
  <c r="H41" i="2"/>
  <c r="E41" i="2"/>
  <c r="AG40" i="2"/>
  <c r="AF40" i="2"/>
  <c r="AE40" i="2"/>
  <c r="K40" i="2"/>
  <c r="H40" i="2"/>
  <c r="E40" i="2"/>
  <c r="AL39" i="2"/>
  <c r="AJ39" i="2"/>
  <c r="AI39" i="2"/>
  <c r="AG39" i="2"/>
  <c r="S39" i="2"/>
  <c r="L39" i="2"/>
  <c r="J39" i="2"/>
  <c r="H39" i="2"/>
  <c r="E39" i="2"/>
  <c r="AO38" i="2"/>
  <c r="R38" i="2"/>
  <c r="Q38" i="2"/>
  <c r="K38" i="2"/>
  <c r="I38" i="2"/>
  <c r="H38" i="2"/>
  <c r="E38" i="2"/>
  <c r="AO37" i="2"/>
  <c r="AJ37" i="2"/>
  <c r="AI37" i="2"/>
  <c r="AF37" i="2"/>
  <c r="AE37" i="2"/>
  <c r="R37" i="2"/>
  <c r="K37" i="2"/>
  <c r="I37" i="2"/>
  <c r="H37" i="2"/>
  <c r="E37" i="2"/>
  <c r="L36" i="2"/>
  <c r="J36" i="2"/>
  <c r="H36" i="2"/>
  <c r="E36" i="2"/>
  <c r="AO35" i="2"/>
  <c r="AB35" i="2"/>
  <c r="V35" i="2"/>
  <c r="K35" i="2"/>
  <c r="I35" i="2"/>
  <c r="H35" i="2"/>
  <c r="E35" i="2"/>
  <c r="AO34" i="2"/>
  <c r="AF34" i="2"/>
  <c r="R34" i="2"/>
  <c r="K34" i="2"/>
  <c r="I34" i="2"/>
  <c r="H34" i="2"/>
  <c r="E34" i="2"/>
  <c r="H33" i="2"/>
  <c r="E33" i="2"/>
  <c r="Z32" i="2"/>
  <c r="T32" i="2"/>
  <c r="L32" i="2"/>
  <c r="J32" i="2"/>
  <c r="H32" i="2"/>
  <c r="E32" i="2"/>
  <c r="AD31" i="2"/>
  <c r="R31" i="2"/>
  <c r="K31" i="2"/>
  <c r="I31" i="2"/>
  <c r="H31" i="2"/>
  <c r="E31" i="2"/>
  <c r="S30" i="2"/>
  <c r="K30" i="2"/>
  <c r="I30" i="2"/>
  <c r="H30" i="2"/>
  <c r="E30" i="2"/>
  <c r="S29" i="2"/>
  <c r="K29" i="2"/>
  <c r="I29" i="2"/>
  <c r="H29" i="2"/>
  <c r="E29" i="2"/>
  <c r="AL28" i="2"/>
  <c r="S28" i="2"/>
  <c r="K28" i="2"/>
  <c r="I28" i="2"/>
  <c r="H28" i="2"/>
  <c r="E28" i="2"/>
  <c r="K27" i="2"/>
  <c r="I27" i="2"/>
  <c r="H27" i="2"/>
  <c r="E27" i="2"/>
  <c r="K26" i="2"/>
  <c r="I26" i="2"/>
  <c r="H26" i="2"/>
  <c r="E26" i="2"/>
  <c r="AO25" i="2"/>
  <c r="AL25" i="2"/>
  <c r="AF25" i="2"/>
  <c r="AE25" i="2"/>
  <c r="AD25" i="2"/>
  <c r="R25" i="2"/>
  <c r="K25" i="2"/>
  <c r="I25" i="2"/>
  <c r="H25" i="2"/>
  <c r="E25" i="2"/>
  <c r="R24" i="2"/>
  <c r="Q24" i="2"/>
  <c r="K24" i="2"/>
  <c r="I24" i="2"/>
  <c r="H24" i="2"/>
  <c r="E24" i="2"/>
  <c r="AJ23" i="2"/>
  <c r="J23" i="2"/>
  <c r="H23" i="2"/>
  <c r="E23" i="2"/>
  <c r="K22" i="2"/>
  <c r="I22" i="2"/>
  <c r="H22" i="2"/>
  <c r="E22" i="2"/>
  <c r="S21" i="2"/>
  <c r="H21" i="2"/>
  <c r="E21" i="2"/>
  <c r="H20" i="2"/>
  <c r="E20" i="2"/>
  <c r="S19" i="2"/>
  <c r="L19" i="2"/>
  <c r="J19" i="2"/>
  <c r="H19" i="2"/>
  <c r="E19" i="2"/>
  <c r="AO18" i="2"/>
  <c r="R18" i="2"/>
  <c r="K18" i="2"/>
  <c r="I18" i="2"/>
  <c r="H18" i="2"/>
  <c r="E18" i="2"/>
  <c r="AO17" i="2"/>
  <c r="AN17" i="2"/>
  <c r="V17" i="2"/>
  <c r="R17" i="2"/>
  <c r="K17" i="2"/>
  <c r="I17" i="2"/>
  <c r="H17" i="2"/>
  <c r="E17" i="2"/>
  <c r="H16" i="2"/>
  <c r="E16" i="2"/>
  <c r="K15" i="2"/>
  <c r="I15" i="2"/>
  <c r="H15" i="2"/>
  <c r="E15" i="2"/>
  <c r="AO14" i="2"/>
  <c r="AN14" i="2"/>
  <c r="V14" i="2"/>
  <c r="R14" i="2"/>
  <c r="Q14" i="2"/>
  <c r="K14" i="2"/>
  <c r="I14" i="2"/>
  <c r="H14" i="2"/>
  <c r="E14" i="2"/>
  <c r="S13" i="2"/>
  <c r="H13" i="2"/>
  <c r="E13" i="2"/>
  <c r="L12" i="2"/>
  <c r="J12" i="2"/>
  <c r="H12" i="2"/>
  <c r="E12" i="2"/>
  <c r="K11" i="2"/>
  <c r="I11" i="2"/>
  <c r="H11" i="2"/>
  <c r="E11" i="2"/>
  <c r="K10" i="2"/>
  <c r="I10" i="2"/>
  <c r="H10" i="2"/>
  <c r="E10" i="2"/>
  <c r="AJ9" i="2"/>
  <c r="AH9" i="2"/>
  <c r="AG9" i="2"/>
  <c r="S9" i="2"/>
  <c r="K9" i="2"/>
  <c r="I9" i="2"/>
  <c r="H9" i="2"/>
  <c r="E9" i="2"/>
  <c r="AO8" i="2"/>
  <c r="AN8" i="2"/>
  <c r="AF8" i="2"/>
  <c r="AE8" i="2"/>
  <c r="R8" i="2"/>
  <c r="Q8" i="2"/>
  <c r="K8" i="2"/>
  <c r="I8" i="2"/>
  <c r="H8" i="2"/>
  <c r="E8" i="2"/>
  <c r="AO7" i="2"/>
  <c r="AN7" i="2"/>
  <c r="AF7" i="2"/>
  <c r="AE7" i="2"/>
  <c r="R7" i="2"/>
  <c r="Q7" i="2"/>
  <c r="K7" i="2"/>
  <c r="E7" i="2"/>
  <c r="H6" i="2"/>
  <c r="E6" i="2"/>
  <c r="AO5" i="2"/>
  <c r="AN5" i="2"/>
  <c r="AF5" i="2"/>
  <c r="AE5" i="2"/>
  <c r="R5" i="2"/>
  <c r="Q5" i="2"/>
  <c r="K5" i="2"/>
  <c r="I5" i="2"/>
  <c r="H5" i="2"/>
  <c r="E5" i="2"/>
  <c r="S4" i="2"/>
  <c r="H4" i="2"/>
  <c r="E4" i="2"/>
  <c r="L3" i="2"/>
  <c r="J3" i="2"/>
  <c r="H3" i="2"/>
  <c r="E3" i="2"/>
</calcChain>
</file>

<file path=xl/sharedStrings.xml><?xml version="1.0" encoding="utf-8"?>
<sst xmlns="http://schemas.openxmlformats.org/spreadsheetml/2006/main" count="3141" uniqueCount="1495">
  <si>
    <t>順位</t>
  </si>
  <si>
    <t>SAT競技者番号</t>
  </si>
  <si>
    <t>選手氏名</t>
  </si>
  <si>
    <t>団体名</t>
  </si>
  <si>
    <t>期末ポイント</t>
  </si>
  <si>
    <t>期末Fig</t>
  </si>
  <si>
    <t>最終登録年度</t>
  </si>
  <si>
    <t>前年度ポイント</t>
  </si>
  <si>
    <t>ラッチ（RACH)</t>
  </si>
  <si>
    <t>①</t>
  </si>
  <si>
    <t>東京都高等学校体育連盟スキー部</t>
  </si>
  <si>
    <t>*</t>
  </si>
  <si>
    <t>カンダハートライブ レーシング</t>
  </si>
  <si>
    <t>サンダーグスキークラブ</t>
  </si>
  <si>
    <t>ＩＣＩ石井スポーツスキークラブ</t>
  </si>
  <si>
    <t>八王子スキー連盟</t>
  </si>
  <si>
    <t>スノースケープ</t>
  </si>
  <si>
    <t>ディップス スキークラブ</t>
  </si>
  <si>
    <t>野辺山スキークラブ</t>
  </si>
  <si>
    <t>東京都中学校体育連盟スキー部</t>
  </si>
  <si>
    <t>武蔵野市スキー連盟</t>
  </si>
  <si>
    <t>ゲインレーシングチーム</t>
  </si>
  <si>
    <t>北区スキー連盟</t>
  </si>
  <si>
    <t>エーデル・スキー・クラブ</t>
  </si>
  <si>
    <t>アスペンスキークラブ</t>
  </si>
  <si>
    <t>エスプーマスキーチーム</t>
  </si>
  <si>
    <t>東京デフスキークラブ</t>
  </si>
  <si>
    <t>ステューピッドスキークラブ</t>
  </si>
  <si>
    <t>ＭＡＸＩＭＵＭスキーチーム</t>
  </si>
  <si>
    <t>ホリディスキークラブ</t>
  </si>
  <si>
    <t>浅貝スキークラブ</t>
  </si>
  <si>
    <t>東京スキー研究会</t>
  </si>
  <si>
    <t>ＵＮＯスキークラブ</t>
  </si>
  <si>
    <t>若葉スキークラブ</t>
  </si>
  <si>
    <t>アカデミースキークラブ</t>
  </si>
  <si>
    <t>チームディーエルベーハースキークラブ</t>
  </si>
  <si>
    <t>東京アマチュア・スキー・クラブ</t>
  </si>
  <si>
    <t>日立製作所本社スキー部</t>
  </si>
  <si>
    <t>練馬区スキー協会</t>
  </si>
  <si>
    <t>チロルスキークラブ</t>
  </si>
  <si>
    <t>大田区役所スキー部</t>
  </si>
  <si>
    <t>ジャスク</t>
  </si>
  <si>
    <t>チーム　ラッシュ</t>
  </si>
  <si>
    <t>スキーチームアスリート</t>
  </si>
  <si>
    <t>丸沼高原レーシングクラブ</t>
  </si>
  <si>
    <t>杉並区スキー連盟</t>
  </si>
  <si>
    <t>世田谷区スキー協会</t>
  </si>
  <si>
    <t>アロースキークラブ</t>
  </si>
  <si>
    <t>ブランシェリースキー クローブ</t>
  </si>
  <si>
    <t>新宿スキークラブ</t>
  </si>
  <si>
    <t>バディスポーツクラブ</t>
  </si>
  <si>
    <t>グランバン・レーシング</t>
  </si>
  <si>
    <t>江東区スキー連盟</t>
  </si>
  <si>
    <t>清瀬スキー倶楽部</t>
  </si>
  <si>
    <t>ウィッツ</t>
  </si>
  <si>
    <t>アールビー　トウキョウ</t>
  </si>
  <si>
    <t>トラームスキークラブ</t>
  </si>
  <si>
    <t>ツィールトウキョウ（Ｚieｌ Tokyo)</t>
  </si>
  <si>
    <t>日本ユニシススキークラブ</t>
  </si>
  <si>
    <t>成城スキークラブ</t>
  </si>
  <si>
    <t>ユーエスエムアール</t>
  </si>
  <si>
    <t>ＮＥＣ府中スキー部</t>
  </si>
  <si>
    <t>エスプリレーシング</t>
  </si>
  <si>
    <t>二十日石アルペンスキークラブ</t>
  </si>
  <si>
    <t>特別区職員文化体育会スキー部</t>
  </si>
  <si>
    <t>三鷹市スキー連盟</t>
  </si>
  <si>
    <t>東京ベーレンスキークラブ</t>
  </si>
  <si>
    <t>ヌプリスキー同人</t>
  </si>
  <si>
    <t>港区スキー連盟</t>
  </si>
  <si>
    <t>フロイデ・シー・グルッペ</t>
  </si>
  <si>
    <t>スポーツユニティ</t>
  </si>
  <si>
    <t>ベラーク</t>
  </si>
  <si>
    <t>板橋区スキー協会</t>
  </si>
  <si>
    <t>トルベ・コムラード</t>
  </si>
  <si>
    <t>雪桜会</t>
  </si>
  <si>
    <t>チーム・ビートゥー・ゼット</t>
  </si>
  <si>
    <t>渋谷区スキー連盟</t>
  </si>
  <si>
    <t>白馬スキークラブ</t>
  </si>
  <si>
    <t>三田ディモンズクラブ</t>
  </si>
  <si>
    <t>奥多摩スキークラブ</t>
  </si>
  <si>
    <t>三田リーゼンスキークラブ</t>
  </si>
  <si>
    <t>日本レーシングスキークラブ</t>
  </si>
  <si>
    <t>スポーツファンクション</t>
  </si>
  <si>
    <t>シュアスキークラブ</t>
  </si>
  <si>
    <t>ジーファクトリー</t>
  </si>
  <si>
    <t>Ｓ．Ｃ．コロポックル</t>
  </si>
  <si>
    <t>ヴァイス・ホルン</t>
  </si>
  <si>
    <t>ＫＤＤＩスキークラブ</t>
  </si>
  <si>
    <t>仲山スキークラブ</t>
  </si>
  <si>
    <t>多摩市スキー連盟</t>
  </si>
  <si>
    <t>クラシックスキークラブ</t>
  </si>
  <si>
    <t>廣田 理有</t>
  </si>
  <si>
    <t>アートスポーツスキークラブ</t>
  </si>
  <si>
    <t>日本アルペンスキークラブ</t>
  </si>
  <si>
    <t>東京スポーツマンクラブ</t>
  </si>
  <si>
    <t>野村 希</t>
  </si>
  <si>
    <t>ブリリアントスキー同人</t>
  </si>
  <si>
    <t>ＮＴＴ東京スキー部</t>
  </si>
  <si>
    <t>アルピナグループ</t>
  </si>
  <si>
    <t>スラロームスキークラブ</t>
  </si>
  <si>
    <t>中野スキークラブ</t>
  </si>
  <si>
    <t>アシックス・スキークラブ</t>
  </si>
  <si>
    <t>チーム フォン (TEAM VON)</t>
  </si>
  <si>
    <t>男子(GS)</t>
  </si>
  <si>
    <t>①　国体予選 男子ＡＢ少年</t>
  </si>
  <si>
    <t>①　国体予選 男子Ｃ</t>
  </si>
  <si>
    <t>①　猪谷杯 男子ＡＢ少年</t>
  </si>
  <si>
    <t>①　猪谷杯 男子Ｃ</t>
  </si>
  <si>
    <t>②南関マス１戦 男子Ａ</t>
  </si>
  <si>
    <t>②南関マス１戦 男子Ｂ</t>
  </si>
  <si>
    <t>②南関マス２戦 男子Ａ</t>
  </si>
  <si>
    <t>②南関マス２戦 男子Ｂ</t>
  </si>
  <si>
    <t>⑩全国高校予選（選考会） 男子</t>
  </si>
  <si>
    <t>⑩全国高校予選（本大会） 男子</t>
  </si>
  <si>
    <t>⑬ＷＳＣ選手権 男子</t>
  </si>
  <si>
    <t>⑬ＷＳＣ選手権 男子Ｍ</t>
  </si>
  <si>
    <t>③関東ユース２ Ａ・Ｂ・Ｋ１男子</t>
  </si>
  <si>
    <t>③関東ユース２ Ｋ２男子</t>
  </si>
  <si>
    <t>④関東小学生 Ａ・Ｂ男子</t>
  </si>
  <si>
    <t>④関東小学生 Ｋ１男子</t>
  </si>
  <si>
    <t>⑤南関ユース Ｋ２男子</t>
  </si>
  <si>
    <t>⑥野沢マスターズ 男子Ａ</t>
  </si>
  <si>
    <t>⑥野沢マスターズ 男子Ｂ</t>
  </si>
  <si>
    <t>⑪全中予選 男子</t>
  </si>
  <si>
    <t>⑫グレーシャー１戦 男子</t>
  </si>
  <si>
    <t>⑫グレーシャー２戦 男子</t>
  </si>
  <si>
    <t>⑭都高校　選考会 男子</t>
  </si>
  <si>
    <t>⑭都高校　本大会 男子</t>
  </si>
  <si>
    <t>⑮苗場カップ　１戦 男子</t>
  </si>
  <si>
    <t>⑮苗場カップ　２戦 男子</t>
  </si>
  <si>
    <t>⑯野辺山カップ 男子</t>
  </si>
  <si>
    <t>⑰ふそうカップ 男子</t>
  </si>
  <si>
    <t>⑰ふそうカップ 男子Ｍ</t>
  </si>
  <si>
    <t>⑱アルペン複合 男子</t>
  </si>
  <si>
    <t>⑱アルペン複合 男子Ｃ</t>
  </si>
  <si>
    <t>⑲春高校　選考会 男子</t>
  </si>
  <si>
    <t>⑲春高校　本大会 男子</t>
  </si>
  <si>
    <t>原田 達也</t>
  </si>
  <si>
    <t>デサントスキーチーム</t>
  </si>
  <si>
    <t>鈴木 修太郎</t>
  </si>
  <si>
    <t>一ノ瀬 丞</t>
  </si>
  <si>
    <t>頼光 一太郎</t>
  </si>
  <si>
    <t>山口 礼雅</t>
  </si>
  <si>
    <t>秋本 健太</t>
  </si>
  <si>
    <t>坂本 貴優</t>
  </si>
  <si>
    <t>田中 亜留羽</t>
  </si>
  <si>
    <t>高原 悠綺</t>
  </si>
  <si>
    <t>Ｚスキークラブ</t>
  </si>
  <si>
    <t>五藤 伯文</t>
  </si>
  <si>
    <t>鈴木 一生</t>
  </si>
  <si>
    <t>森下 颯大</t>
  </si>
  <si>
    <t>永田 嵐</t>
  </si>
  <si>
    <t>木村 翔馬</t>
  </si>
  <si>
    <t>平野 颯人</t>
  </si>
  <si>
    <t>岡本 龍</t>
  </si>
  <si>
    <t>戸井田 慎</t>
  </si>
  <si>
    <t>千葉 凱人</t>
  </si>
  <si>
    <t>奥村 英樹</t>
  </si>
  <si>
    <t>伴 祐人</t>
  </si>
  <si>
    <t>スキーチームゼロ</t>
  </si>
  <si>
    <t>松本 継之</t>
  </si>
  <si>
    <t>萩生田 純宇</t>
  </si>
  <si>
    <t>鈴木 朋哉</t>
  </si>
  <si>
    <t>本部 勇貴</t>
  </si>
  <si>
    <t>フリースキークラブ</t>
  </si>
  <si>
    <t>萩生田 博之</t>
  </si>
  <si>
    <t>荒井 大地</t>
  </si>
  <si>
    <t>齋木 秀哉</t>
  </si>
  <si>
    <t>市川 隼也</t>
  </si>
  <si>
    <t>康野 皓嗣</t>
  </si>
  <si>
    <t>吉田 裕治</t>
  </si>
  <si>
    <t>篠原 広大</t>
  </si>
  <si>
    <t>市川 岳海</t>
  </si>
  <si>
    <t>工藤 亮太</t>
  </si>
  <si>
    <t>篠木 知</t>
  </si>
  <si>
    <t>窪島 竜太</t>
  </si>
  <si>
    <t>西山 陸斗</t>
  </si>
  <si>
    <t>岡田 勝義</t>
  </si>
  <si>
    <t>増田 蒼</t>
  </si>
  <si>
    <t>荒井 祐治</t>
  </si>
  <si>
    <t>モンタナスキークラブ</t>
  </si>
  <si>
    <t>茂木 孝太郎</t>
  </si>
  <si>
    <t>広瀬 勇人</t>
  </si>
  <si>
    <t>ゴールドウインスキークラブ</t>
  </si>
  <si>
    <t>瓦井 海年</t>
  </si>
  <si>
    <t>鈴木 真</t>
  </si>
  <si>
    <t>ＧＯＤレーシング</t>
  </si>
  <si>
    <t>斉藤 範光</t>
  </si>
  <si>
    <t>門脇 博英</t>
  </si>
  <si>
    <t>ファイヤーレーシングチーム</t>
  </si>
  <si>
    <t>平松 直季</t>
  </si>
  <si>
    <t>竹内 明</t>
  </si>
  <si>
    <t>村山 高志</t>
  </si>
  <si>
    <t>湯口 暁</t>
  </si>
  <si>
    <t>黒澤 俊平</t>
  </si>
  <si>
    <t>マイズ（MyS）スキークラブ</t>
  </si>
  <si>
    <t>栗山 一輝</t>
  </si>
  <si>
    <t>ミーナン シーフラ</t>
  </si>
  <si>
    <t>宮脇 駿</t>
  </si>
  <si>
    <t>三原 蔵</t>
  </si>
  <si>
    <t>秋山 航一</t>
  </si>
  <si>
    <t>秋元 嘉幸</t>
  </si>
  <si>
    <t>スノーウインドスキークラブ</t>
  </si>
  <si>
    <t>菅谷 洋</t>
  </si>
  <si>
    <t>手塚 達也</t>
  </si>
  <si>
    <t>松崎 知宏</t>
  </si>
  <si>
    <t>武井 哲応</t>
  </si>
  <si>
    <t>原 佑輔</t>
  </si>
  <si>
    <t>スノーハーベスト</t>
  </si>
  <si>
    <t>黒川 正人</t>
  </si>
  <si>
    <t>山内 直己</t>
  </si>
  <si>
    <t>水川 太貴</t>
  </si>
  <si>
    <t>戸祭 修平</t>
  </si>
  <si>
    <t>峰咲 誠弥</t>
  </si>
  <si>
    <t>志村 康太</t>
  </si>
  <si>
    <t>髙井 勇翔</t>
  </si>
  <si>
    <t>片野 景太</t>
  </si>
  <si>
    <t>中村 光宏</t>
  </si>
  <si>
    <t>古川 信行</t>
  </si>
  <si>
    <t>小宮 康平</t>
  </si>
  <si>
    <t>西尾 一輝</t>
  </si>
  <si>
    <t>大平 誠</t>
  </si>
  <si>
    <t>青木 麗雅</t>
  </si>
  <si>
    <t>西原 駿介</t>
  </si>
  <si>
    <t>石渡 亮</t>
  </si>
  <si>
    <t>渕脇 滉太</t>
  </si>
  <si>
    <t>栗原 渉</t>
  </si>
  <si>
    <t>小山 優</t>
  </si>
  <si>
    <t>村本 成洋</t>
  </si>
  <si>
    <t>サウンズスキークラブ</t>
  </si>
  <si>
    <t>土田 英</t>
  </si>
  <si>
    <t>藤田 裕明</t>
  </si>
  <si>
    <t>生形 嘉良</t>
  </si>
  <si>
    <t>前田 湧作</t>
  </si>
  <si>
    <t>山田 裕之</t>
  </si>
  <si>
    <t>大野 兼司</t>
  </si>
  <si>
    <t>荒井 元気</t>
  </si>
  <si>
    <t>河辺 敏郎</t>
  </si>
  <si>
    <t>川又 眞綱</t>
  </si>
  <si>
    <t>片山 亮志</t>
  </si>
  <si>
    <t>浅見 裕</t>
  </si>
  <si>
    <t>内山 祐一</t>
  </si>
  <si>
    <t>沼田 雅人</t>
  </si>
  <si>
    <t>青木 智洋</t>
  </si>
  <si>
    <t>日留川 領介</t>
  </si>
  <si>
    <t>小宮 章弘</t>
  </si>
  <si>
    <t>日紫喜 薫</t>
  </si>
  <si>
    <t>伴 健太郎</t>
  </si>
  <si>
    <t>大江 健嗣</t>
  </si>
  <si>
    <t>吉武 竜輝</t>
  </si>
  <si>
    <t>小松原 誠</t>
  </si>
  <si>
    <t>林 克行</t>
  </si>
  <si>
    <t>吉澤 雅晴</t>
  </si>
  <si>
    <t>江頭 至光</t>
  </si>
  <si>
    <t>バモススキークラブ</t>
  </si>
  <si>
    <t>横山 省</t>
  </si>
  <si>
    <t>相馬 勝利</t>
  </si>
  <si>
    <t>山中 駿</t>
  </si>
  <si>
    <t>福島 光伸</t>
  </si>
  <si>
    <t>阿部 宗司</t>
  </si>
  <si>
    <t>伊藤 裕行</t>
  </si>
  <si>
    <t>康野 瑛嗣</t>
  </si>
  <si>
    <t>野々山 淳</t>
  </si>
  <si>
    <t>清水 靖男</t>
  </si>
  <si>
    <t>石川 清信</t>
  </si>
  <si>
    <t>富安 有爾</t>
  </si>
  <si>
    <t>北原 貴太</t>
  </si>
  <si>
    <t>井上 雅王</t>
  </si>
  <si>
    <t>野原 徹雄</t>
  </si>
  <si>
    <t>田中 慈音</t>
  </si>
  <si>
    <t>大髙 裕生</t>
  </si>
  <si>
    <t>木島 秀夫</t>
  </si>
  <si>
    <t>JFEスチールスキー部</t>
  </si>
  <si>
    <t>本山 貴大</t>
  </si>
  <si>
    <t>堀尾 和正</t>
  </si>
  <si>
    <t>ヴェーデルンスキークラブ</t>
  </si>
  <si>
    <t>上田 尚志</t>
  </si>
  <si>
    <t>河野 太郎</t>
  </si>
  <si>
    <t>川手 健太郎</t>
  </si>
  <si>
    <t>村上 雅也</t>
  </si>
  <si>
    <t>冠 昌宏</t>
  </si>
  <si>
    <t>服部 正史</t>
  </si>
  <si>
    <t>伴 啓明</t>
  </si>
  <si>
    <t>坂口 雄基</t>
  </si>
  <si>
    <t>丸山 英明</t>
  </si>
  <si>
    <t>菅原 俊一</t>
  </si>
  <si>
    <t>小平市スキー連盟</t>
  </si>
  <si>
    <t>坂井 智和</t>
  </si>
  <si>
    <t>スノータンネットクラブ</t>
  </si>
  <si>
    <t>光延 貴之</t>
  </si>
  <si>
    <t>岡本 悟</t>
  </si>
  <si>
    <t>川口 一司</t>
  </si>
  <si>
    <t>スキー愛好会プルーク</t>
  </si>
  <si>
    <t>横山 哲也</t>
  </si>
  <si>
    <t>東京アルム・スキークラブ</t>
  </si>
  <si>
    <t>星野 英郎</t>
  </si>
  <si>
    <t>宮野 次郎</t>
  </si>
  <si>
    <t>岡部 洋一</t>
  </si>
  <si>
    <t>小笠原 世亜</t>
  </si>
  <si>
    <t>浅輪 景一</t>
  </si>
  <si>
    <t>松田 祐兒</t>
  </si>
  <si>
    <t>相木 和生</t>
  </si>
  <si>
    <t>防衛省スキークラブ</t>
  </si>
  <si>
    <t>前田 将宏</t>
  </si>
  <si>
    <t>深澤 伸朗</t>
  </si>
  <si>
    <t>濱野 真之</t>
  </si>
  <si>
    <t>東谷 学由</t>
  </si>
  <si>
    <t>幸得 凌大</t>
  </si>
  <si>
    <t>瀬田 昌彦</t>
  </si>
  <si>
    <t>篠塚 成輝</t>
  </si>
  <si>
    <t>酒井 貴弘</t>
  </si>
  <si>
    <t>中野区スキー協会</t>
  </si>
  <si>
    <t>福岡 大知</t>
  </si>
  <si>
    <t>田村 忍</t>
  </si>
  <si>
    <t>松田 笙太郎</t>
  </si>
  <si>
    <t>福室 心</t>
  </si>
  <si>
    <t>相馬 悟</t>
  </si>
  <si>
    <t>相沢 孝</t>
  </si>
  <si>
    <t>中島 希代彦</t>
  </si>
  <si>
    <t>ＪＲ東日本東京スキークラブ</t>
  </si>
  <si>
    <t>新名 将也</t>
  </si>
  <si>
    <t>本山 幸雄</t>
  </si>
  <si>
    <t>安川 嘉敬</t>
  </si>
  <si>
    <t>宮本 浩光</t>
  </si>
  <si>
    <t>高橋 尚暉</t>
  </si>
  <si>
    <t>境 悠太</t>
  </si>
  <si>
    <t>馬場 健哉</t>
  </si>
  <si>
    <t>鈴木 鷹平</t>
  </si>
  <si>
    <t>星野 倭山</t>
  </si>
  <si>
    <t>宮脇 瞭</t>
  </si>
  <si>
    <t>清水 悟</t>
  </si>
  <si>
    <t>シール・クラブ</t>
  </si>
  <si>
    <t>干場 英城</t>
  </si>
  <si>
    <t>福岡 利悦</t>
  </si>
  <si>
    <t>林 幸司</t>
  </si>
  <si>
    <t>中川 健介</t>
  </si>
  <si>
    <t>スノーマン</t>
  </si>
  <si>
    <t>石川 忠良</t>
  </si>
  <si>
    <t>澤田 健</t>
  </si>
  <si>
    <t>栗林 一成</t>
  </si>
  <si>
    <t>市川 知宏</t>
  </si>
  <si>
    <t>杉浦 仁</t>
  </si>
  <si>
    <t>三浦 雄輝</t>
  </si>
  <si>
    <t>天谷 祥吾</t>
  </si>
  <si>
    <t>諸岡 徹</t>
  </si>
  <si>
    <t>梅沢 久武</t>
  </si>
  <si>
    <t>亀山 詔一</t>
  </si>
  <si>
    <t>大塚 裕太</t>
  </si>
  <si>
    <t>馬場 雅哉</t>
  </si>
  <si>
    <t>池野 大介</t>
  </si>
  <si>
    <t>林 昭三</t>
  </si>
  <si>
    <t>新出 翔太</t>
  </si>
  <si>
    <t>神蔵 順一朗</t>
  </si>
  <si>
    <t>松野 賢一</t>
  </si>
  <si>
    <t>福田 凌介</t>
  </si>
  <si>
    <t>高橋 廣</t>
  </si>
  <si>
    <t>宇佐見 裕</t>
  </si>
  <si>
    <t>吉田 祥貴</t>
  </si>
  <si>
    <t>高橋 勇太郎</t>
  </si>
  <si>
    <t>上野 歩夢</t>
  </si>
  <si>
    <t>伊藤 肇</t>
  </si>
  <si>
    <t>ペガーズスキークラブ</t>
  </si>
  <si>
    <t>日下部 卓哉</t>
  </si>
  <si>
    <t>石原 智弘</t>
  </si>
  <si>
    <t>入江 哲郎</t>
  </si>
  <si>
    <t>野村 一貴</t>
  </si>
  <si>
    <t>澤村 俊季</t>
  </si>
  <si>
    <t>小塩 慶人</t>
  </si>
  <si>
    <t>上原 新次</t>
  </si>
  <si>
    <t>大高 昇</t>
  </si>
  <si>
    <t>摠谷 怜隼</t>
  </si>
  <si>
    <t>高山 元成</t>
  </si>
  <si>
    <t>片桐 哲夫</t>
  </si>
  <si>
    <t>前波 賢彦</t>
  </si>
  <si>
    <t>大武 正幸</t>
  </si>
  <si>
    <t>上村 黎</t>
  </si>
  <si>
    <t>重光 玄</t>
  </si>
  <si>
    <t>野上 信悟</t>
  </si>
  <si>
    <t>根津 佑介</t>
  </si>
  <si>
    <t>後藤 和海</t>
  </si>
  <si>
    <t>成田 一寛</t>
  </si>
  <si>
    <t>浦野 好紀</t>
  </si>
  <si>
    <t>鈴木 孝</t>
  </si>
  <si>
    <t>手塚 雅貴</t>
  </si>
  <si>
    <t>松本 直広</t>
  </si>
  <si>
    <t>清野 雅彦</t>
  </si>
  <si>
    <t>大高 照平</t>
  </si>
  <si>
    <t>山本 智久</t>
  </si>
  <si>
    <t>斉藤 博幸</t>
  </si>
  <si>
    <t>国峰 昇</t>
  </si>
  <si>
    <t>セッションクラブ東京</t>
  </si>
  <si>
    <t>三井田 敦弘</t>
  </si>
  <si>
    <t>小長谷 修</t>
  </si>
  <si>
    <t>辻 卓弥</t>
  </si>
  <si>
    <t>吉田 裕</t>
  </si>
  <si>
    <t>有馬 卓郎</t>
  </si>
  <si>
    <t>ふくろうスキークラブ</t>
  </si>
  <si>
    <t>福岡 秀幸</t>
  </si>
  <si>
    <t>大内 武彦</t>
  </si>
  <si>
    <t>須賀 亮太</t>
  </si>
  <si>
    <t>保江 佳克</t>
  </si>
  <si>
    <t>大田 想楽</t>
  </si>
  <si>
    <t>吉川 昌宏</t>
  </si>
  <si>
    <t>保坂 元</t>
  </si>
  <si>
    <t>郷田 翔平</t>
  </si>
  <si>
    <t>丸山 貴宏</t>
  </si>
  <si>
    <t>佐藤 大悟</t>
  </si>
  <si>
    <t>今野 敬行</t>
  </si>
  <si>
    <t>早道 奏喜</t>
  </si>
  <si>
    <t>濱崎 雄志</t>
  </si>
  <si>
    <t>藤枝 良男</t>
  </si>
  <si>
    <t>竹内 宇音</t>
  </si>
  <si>
    <t>齋藤 優</t>
  </si>
  <si>
    <t>西川 建</t>
  </si>
  <si>
    <t>頼光 竜二郎</t>
  </si>
  <si>
    <t>横田 剛直</t>
  </si>
  <si>
    <t>森川 勉</t>
  </si>
  <si>
    <t>上田 忠之</t>
  </si>
  <si>
    <t>あきる野市スキークラブ</t>
  </si>
  <si>
    <t>市河 宏章</t>
  </si>
  <si>
    <t>石野 雄一</t>
  </si>
  <si>
    <t>加藤 博泰</t>
  </si>
  <si>
    <t>立川市スキー連盟</t>
  </si>
  <si>
    <t>田沢 慎吾</t>
  </si>
  <si>
    <t>笠谷 昂大</t>
  </si>
  <si>
    <t>岡本 宏和</t>
  </si>
  <si>
    <t>武蔵村山スキー協会</t>
  </si>
  <si>
    <t>福田 博文</t>
  </si>
  <si>
    <t>府中市スキー連盟</t>
  </si>
  <si>
    <t>髙杉 豪</t>
  </si>
  <si>
    <t>スキーサークルスリム</t>
  </si>
  <si>
    <t>小林 弘典</t>
  </si>
  <si>
    <t>加藤 裕</t>
  </si>
  <si>
    <t>原 貴士</t>
  </si>
  <si>
    <t>柚木 裕明</t>
  </si>
  <si>
    <t>紀 晃太</t>
  </si>
  <si>
    <t>林 光三</t>
  </si>
  <si>
    <t>野中 走馬</t>
  </si>
  <si>
    <t>安國 貴彦</t>
  </si>
  <si>
    <t>中島 世生</t>
  </si>
  <si>
    <t>髙橋 雄司</t>
  </si>
  <si>
    <t>今野 太生</t>
  </si>
  <si>
    <t>松山 祥太</t>
  </si>
  <si>
    <t>堂内 憲治</t>
  </si>
  <si>
    <t>中村 英樹</t>
  </si>
  <si>
    <t>大沼 修</t>
  </si>
  <si>
    <t>石井 三郎</t>
  </si>
  <si>
    <t>熊谷 和則</t>
  </si>
  <si>
    <t>小平 健太郎</t>
  </si>
  <si>
    <t>紺谷 克昌</t>
  </si>
  <si>
    <t>高橋 俊晴</t>
  </si>
  <si>
    <t>柳川 誠一郎</t>
  </si>
  <si>
    <t>土生 智弘</t>
  </si>
  <si>
    <t>髙橋 駿太</t>
  </si>
  <si>
    <t>尼崎 義郎</t>
  </si>
  <si>
    <t>安田 晃</t>
  </si>
  <si>
    <t>須藤 圭一</t>
  </si>
  <si>
    <t>梅原 久</t>
  </si>
  <si>
    <t>加藤 禎博</t>
  </si>
  <si>
    <t>加来 彩人</t>
  </si>
  <si>
    <t>山下 登</t>
  </si>
  <si>
    <t>浦井 芳洋</t>
  </si>
  <si>
    <t>石川 賢</t>
  </si>
  <si>
    <t>上村 爽</t>
  </si>
  <si>
    <t>鈴木 貴大</t>
  </si>
  <si>
    <t>松村 周平</t>
  </si>
  <si>
    <t>蔵前 優生</t>
  </si>
  <si>
    <t>西原 優太</t>
  </si>
  <si>
    <t>秋山 功</t>
  </si>
  <si>
    <t>遠藤 太郎</t>
  </si>
  <si>
    <t>小林 宣樹</t>
  </si>
  <si>
    <t>瀬戸崎 健</t>
  </si>
  <si>
    <t>松本 隆弘</t>
  </si>
  <si>
    <t>遠藤 正紀</t>
  </si>
  <si>
    <t>斎藤 充</t>
  </si>
  <si>
    <t>神谷 宏徳</t>
  </si>
  <si>
    <t>竹山 晃司</t>
  </si>
  <si>
    <t>澤田 祐二</t>
  </si>
  <si>
    <t>上野 雄平</t>
  </si>
  <si>
    <t>上川 愛嵐</t>
  </si>
  <si>
    <t>鈴木 望</t>
  </si>
  <si>
    <t>杉山 幹直</t>
  </si>
  <si>
    <t>髙橋 ヤマト</t>
  </si>
  <si>
    <t>柴田 富男</t>
  </si>
  <si>
    <t>竹内 弘之</t>
  </si>
  <si>
    <t>江尻 利雄</t>
  </si>
  <si>
    <t>島田 樹空</t>
  </si>
  <si>
    <t>大塚 繁夫</t>
  </si>
  <si>
    <t>廣作 拓郎</t>
  </si>
  <si>
    <t>坂崎 一郎</t>
  </si>
  <si>
    <t>中野 幸二</t>
  </si>
  <si>
    <t>高杉 晋治</t>
  </si>
  <si>
    <t>松山 光男</t>
  </si>
  <si>
    <t>鈴木 脩斗</t>
  </si>
  <si>
    <t>千賀 亮</t>
  </si>
  <si>
    <t>遠藤 裕太</t>
  </si>
  <si>
    <t>山本 拓磨</t>
  </si>
  <si>
    <t>小野 雄一</t>
  </si>
  <si>
    <t>今村 郁男</t>
  </si>
  <si>
    <t>吉野 尚恭</t>
  </si>
  <si>
    <t>ジューディッチ ロメオ</t>
  </si>
  <si>
    <t>島田 喜久則</t>
  </si>
  <si>
    <t>滝野瀬 聖</t>
  </si>
  <si>
    <t>中川 圭介</t>
  </si>
  <si>
    <t>樗澤 啓祐</t>
  </si>
  <si>
    <t>山中 省三</t>
  </si>
  <si>
    <t>大湯 正彦</t>
  </si>
  <si>
    <t>遠山 博司</t>
  </si>
  <si>
    <t>横山 周人</t>
  </si>
  <si>
    <t>須藤 公貴</t>
  </si>
  <si>
    <t>荻生 紳太郎</t>
  </si>
  <si>
    <t>古川 浩次</t>
  </si>
  <si>
    <t>広瀬 逸郎</t>
  </si>
  <si>
    <t>大木 寛人</t>
  </si>
  <si>
    <t>滝沢 誠</t>
  </si>
  <si>
    <t>谷延 愼司</t>
  </si>
  <si>
    <t>海山 智九</t>
  </si>
  <si>
    <t>瀧井 靖和</t>
  </si>
  <si>
    <t>清水 則雪</t>
  </si>
  <si>
    <t>青木 祐介</t>
  </si>
  <si>
    <t>小長井 俊介</t>
  </si>
  <si>
    <t>福室 直志</t>
  </si>
  <si>
    <t>粕谷 岳洋</t>
  </si>
  <si>
    <t>岡部 哲也</t>
  </si>
  <si>
    <t>ファーストスキークラブ</t>
  </si>
  <si>
    <t>嶋田 一幸</t>
  </si>
  <si>
    <t>藤 皓貴</t>
  </si>
  <si>
    <t>田中 智樹</t>
  </si>
  <si>
    <t>福嶋 剛</t>
  </si>
  <si>
    <t>長尾 峻治</t>
  </si>
  <si>
    <t>竹本 哲郎</t>
  </si>
  <si>
    <t>板羽 佑樹</t>
  </si>
  <si>
    <t>阿部 祐三</t>
  </si>
  <si>
    <t>東京消防庁スキー部</t>
  </si>
  <si>
    <t>篠 誠</t>
  </si>
  <si>
    <t>赤尾 豪宜</t>
  </si>
  <si>
    <t>川上 光一</t>
  </si>
  <si>
    <t>木村 久一</t>
  </si>
  <si>
    <t>髙橋 大喜</t>
  </si>
  <si>
    <t>坂内 友岳</t>
  </si>
  <si>
    <t>平岡 一志</t>
  </si>
  <si>
    <t>河野 秀彰</t>
  </si>
  <si>
    <t>石井 元</t>
  </si>
  <si>
    <t>吉川 剛志</t>
  </si>
  <si>
    <t>福田 智弘</t>
  </si>
  <si>
    <t>酒井 直希</t>
  </si>
  <si>
    <t>島田 岳洋</t>
  </si>
  <si>
    <t>木所 雅征</t>
  </si>
  <si>
    <t>十河 義勝</t>
  </si>
  <si>
    <t>横山 真太郎</t>
  </si>
  <si>
    <t>石田 満</t>
  </si>
  <si>
    <t>宮尾 暁</t>
  </si>
  <si>
    <t>瀬戸 信治</t>
  </si>
  <si>
    <t>香取 優斗</t>
  </si>
  <si>
    <t>中山 圭三</t>
  </si>
  <si>
    <t>神尾 昴雅</t>
  </si>
  <si>
    <t>黒越 亮史</t>
  </si>
  <si>
    <t>山田 範秀</t>
  </si>
  <si>
    <t>久和野 純也</t>
  </si>
  <si>
    <t>増田 卓郎</t>
  </si>
  <si>
    <t>小林 東次</t>
  </si>
  <si>
    <t>中村 知大</t>
  </si>
  <si>
    <t>山田 孝夫</t>
  </si>
  <si>
    <t>石崎 英文</t>
  </si>
  <si>
    <t>森北 和志</t>
  </si>
  <si>
    <t>小野木 直人</t>
  </si>
  <si>
    <t>大橋 拓真</t>
  </si>
  <si>
    <t>飯塚 修平</t>
  </si>
  <si>
    <t>友野 喜正</t>
  </si>
  <si>
    <t>吉野 康博</t>
  </si>
  <si>
    <t>横山 弘昭</t>
  </si>
  <si>
    <t>東京ミタカファーストスキークラブ</t>
  </si>
  <si>
    <t>阿部 謙一</t>
  </si>
  <si>
    <t>海部 圭史</t>
  </si>
  <si>
    <t>長瀬 好幸</t>
  </si>
  <si>
    <t>川崎 俊輔</t>
  </si>
  <si>
    <t>菊池 立身</t>
  </si>
  <si>
    <t>河村 達哉</t>
  </si>
  <si>
    <t>杉本 明俊</t>
  </si>
  <si>
    <t>遊佐 詔一</t>
  </si>
  <si>
    <t>富田 良知</t>
  </si>
  <si>
    <t>渡会 一成</t>
  </si>
  <si>
    <t>廣田 香有</t>
  </si>
  <si>
    <t>田中 茂樹</t>
  </si>
  <si>
    <t>宮崎 浩</t>
  </si>
  <si>
    <t>小沼 雄暉</t>
  </si>
  <si>
    <t>阿部 光一郎</t>
  </si>
  <si>
    <t>中野 義達</t>
  </si>
  <si>
    <t>無量小路 俊輔</t>
  </si>
  <si>
    <t>是枝 祐太</t>
  </si>
  <si>
    <t>吉澤 采佑</t>
  </si>
  <si>
    <t>高橋 貞史</t>
  </si>
  <si>
    <t>東京都庁体育会スキー部</t>
  </si>
  <si>
    <t>金子 大翔</t>
  </si>
  <si>
    <t>田中 敏明</t>
  </si>
  <si>
    <t>神田 友義</t>
  </si>
  <si>
    <t>田中 基</t>
  </si>
  <si>
    <t>武井 雅大</t>
  </si>
  <si>
    <t>熊沢 明</t>
  </si>
  <si>
    <t>吉川 慶治郎</t>
  </si>
  <si>
    <t>竹本 圭佑</t>
  </si>
  <si>
    <t>ブルース クロフォード</t>
  </si>
  <si>
    <t>榎本 雄高</t>
  </si>
  <si>
    <t>窪田 哲也</t>
  </si>
  <si>
    <t>鳥居 正行</t>
  </si>
  <si>
    <t>吉田 哲平</t>
  </si>
  <si>
    <t>伊藤 拓美</t>
  </si>
  <si>
    <t>吉田 尭</t>
  </si>
  <si>
    <t>立野 博之</t>
  </si>
  <si>
    <t>讃岐 誠</t>
  </si>
  <si>
    <t>黒崎 信之</t>
  </si>
  <si>
    <t>小泉 茂</t>
  </si>
  <si>
    <t>飯山 堅介</t>
  </si>
  <si>
    <t>中田 祐希</t>
  </si>
  <si>
    <t>梶原 龍之佑</t>
  </si>
  <si>
    <t>三井 伸一</t>
  </si>
  <si>
    <t>杵渕 桂一朗</t>
  </si>
  <si>
    <t>東村山市スキー連盟</t>
  </si>
  <si>
    <t>秋元 俊祐</t>
  </si>
  <si>
    <t>福田 隆</t>
  </si>
  <si>
    <t>石原 裕久</t>
  </si>
  <si>
    <t>柴崎 功士</t>
  </si>
  <si>
    <t>渡辺 智秋</t>
  </si>
  <si>
    <t>中山 健史</t>
  </si>
  <si>
    <t>山崎 湧太</t>
  </si>
  <si>
    <t>岩崎 裕之</t>
  </si>
  <si>
    <t>山田 勝巳</t>
  </si>
  <si>
    <t>ホワイト・ベア・クラブ</t>
  </si>
  <si>
    <t>横川 達也</t>
  </si>
  <si>
    <t>小川 ルーク</t>
  </si>
  <si>
    <t>高嶋 利之</t>
  </si>
  <si>
    <t>芦田 研二</t>
  </si>
  <si>
    <t>佐藤 稜</t>
  </si>
  <si>
    <t>斉藤 聖治</t>
  </si>
  <si>
    <t>武井 克己</t>
  </si>
  <si>
    <t>秦 義史</t>
  </si>
  <si>
    <t>粟津 健太</t>
  </si>
  <si>
    <t>佐々木 健一</t>
  </si>
  <si>
    <t>石井 哲也</t>
  </si>
  <si>
    <t>赤石 晃一</t>
  </si>
  <si>
    <t>水口 裕</t>
  </si>
  <si>
    <t>馬越 太朗</t>
  </si>
  <si>
    <t>笛木 正一</t>
  </si>
  <si>
    <t>石井 啓太</t>
  </si>
  <si>
    <t>永田 俊太郎</t>
  </si>
  <si>
    <t>市村 隼人</t>
  </si>
  <si>
    <t>殿塚 崇央</t>
  </si>
  <si>
    <t>金井 均</t>
  </si>
  <si>
    <t>川田 誠</t>
  </si>
  <si>
    <t>中島 史晶</t>
  </si>
  <si>
    <t>谷 善樹</t>
  </si>
  <si>
    <t>榎本 来飛</t>
  </si>
  <si>
    <t>岡島 茂</t>
  </si>
  <si>
    <t>ノースウィンド  スキークラブ</t>
  </si>
  <si>
    <t>田中 勇太朗</t>
  </si>
  <si>
    <t>新村 末雄</t>
  </si>
  <si>
    <t>西崎 大悟</t>
  </si>
  <si>
    <t>三明 拓也</t>
  </si>
  <si>
    <t>渡辺 大悟</t>
  </si>
  <si>
    <t>豊野 悠次</t>
  </si>
  <si>
    <t>大月 暁信</t>
  </si>
  <si>
    <t>畑中 真一</t>
  </si>
  <si>
    <t>エコー・コムラード</t>
  </si>
  <si>
    <t>朝比奈 秀樹</t>
  </si>
  <si>
    <t>金子 晟三</t>
  </si>
  <si>
    <t>宮坂 優希</t>
  </si>
  <si>
    <t>横内 善雄</t>
  </si>
  <si>
    <t>小坂 勉</t>
  </si>
  <si>
    <t>石井 健嗣</t>
  </si>
  <si>
    <t>東出 憲一</t>
  </si>
  <si>
    <t>饗庭 佑亮</t>
  </si>
  <si>
    <t>柳島 克己</t>
  </si>
  <si>
    <t>久宗 克也</t>
  </si>
  <si>
    <t>内田 義明</t>
  </si>
  <si>
    <t>那須 正志</t>
  </si>
  <si>
    <t>渡辺 光</t>
  </si>
  <si>
    <t>西 俊郎</t>
  </si>
  <si>
    <t>高田 一磨</t>
  </si>
  <si>
    <t>小林 秀徳</t>
  </si>
  <si>
    <t>兼松 聖</t>
  </si>
  <si>
    <t>時田 秀規</t>
  </si>
  <si>
    <t>高柳 良大</t>
  </si>
  <si>
    <t>柏木 直人</t>
  </si>
  <si>
    <t>斉藤 幸一</t>
  </si>
  <si>
    <t>大西 秀人</t>
  </si>
  <si>
    <t>小西 博英</t>
  </si>
  <si>
    <t>斉藤 富彦</t>
  </si>
  <si>
    <t>加藤 理</t>
  </si>
  <si>
    <t>星 勝実</t>
  </si>
  <si>
    <t>坂本 怜大</t>
  </si>
  <si>
    <t>長谷川 一弘</t>
  </si>
  <si>
    <t>鈴木 健史</t>
  </si>
  <si>
    <t>シー・アクトスキークラブ</t>
  </si>
  <si>
    <t>小泉 和秀</t>
  </si>
  <si>
    <t>小野寺 寛</t>
  </si>
  <si>
    <t>加藤 弘大</t>
  </si>
  <si>
    <t>鈴木 麻生</t>
  </si>
  <si>
    <t>嶋川 憲治</t>
  </si>
  <si>
    <t>野口 慧悟</t>
  </si>
  <si>
    <t>富久尾 真輝</t>
  </si>
  <si>
    <t>平山 陽之</t>
  </si>
  <si>
    <t>臼田 大樹</t>
  </si>
  <si>
    <t>花岡 正智</t>
  </si>
  <si>
    <t>比留間 光成</t>
  </si>
  <si>
    <t>佐々木 勇一</t>
  </si>
  <si>
    <t>立川 湧斗</t>
  </si>
  <si>
    <t>谷口 達彦</t>
  </si>
  <si>
    <t>大山 穂高</t>
  </si>
  <si>
    <t>高田 昭</t>
  </si>
  <si>
    <t>眞鍋 一樹</t>
  </si>
  <si>
    <t>森山 文彦</t>
  </si>
  <si>
    <t>小柳 恒一</t>
  </si>
  <si>
    <t>大倉 滉太</t>
  </si>
  <si>
    <t>戸田 直人</t>
  </si>
  <si>
    <t>島田 眞人</t>
  </si>
  <si>
    <t>根岸 拓生</t>
  </si>
  <si>
    <t>辰巳 晶信</t>
  </si>
  <si>
    <t>盛 拓貴</t>
  </si>
  <si>
    <t>青木 巧</t>
  </si>
  <si>
    <t>佐川 真啓</t>
  </si>
  <si>
    <t>山内 誠也</t>
  </si>
  <si>
    <t>木口 朋哉</t>
  </si>
  <si>
    <t>染谷 昌彦</t>
  </si>
  <si>
    <t>橋口 拓弥</t>
  </si>
  <si>
    <t>飯岡 方春</t>
  </si>
  <si>
    <t>茨木 富貴</t>
  </si>
  <si>
    <t>宮鍋 浩</t>
  </si>
  <si>
    <t>たまこスキーチーム</t>
  </si>
  <si>
    <t>山口 芳生</t>
  </si>
  <si>
    <t>市川 武</t>
  </si>
  <si>
    <t>池内 伸行</t>
  </si>
  <si>
    <t>佐竹 伸之</t>
  </si>
  <si>
    <t>福原 力</t>
  </si>
  <si>
    <t>青木 正人</t>
  </si>
  <si>
    <t>本広 春</t>
  </si>
  <si>
    <t>菊池 大基</t>
  </si>
  <si>
    <t>齋藤 裕樹</t>
  </si>
  <si>
    <t>大久保 聡</t>
  </si>
  <si>
    <t>喜連 祐一</t>
  </si>
  <si>
    <t>佐藤 善紀</t>
  </si>
  <si>
    <t>町田市スキー連盟</t>
  </si>
  <si>
    <t>伊藤 欣一</t>
  </si>
  <si>
    <t>高橋 智也</t>
  </si>
  <si>
    <t>柏木 秀仁</t>
  </si>
  <si>
    <t>国府方 昭二</t>
  </si>
  <si>
    <t>倉田 龍介</t>
  </si>
  <si>
    <t>斎藤 徳太郎</t>
  </si>
  <si>
    <t>横田 昌治</t>
  </si>
  <si>
    <t>ときスキークラブ</t>
  </si>
  <si>
    <t>角谷 航樹</t>
  </si>
  <si>
    <t>三浦 一秋</t>
  </si>
  <si>
    <t>佐藤 譲</t>
  </si>
  <si>
    <t>竹原 英夫</t>
  </si>
  <si>
    <t>中村 重継</t>
  </si>
  <si>
    <t>堀 正弘</t>
  </si>
  <si>
    <t>スキー・フリークス・クラブ</t>
  </si>
  <si>
    <t>桑原 悠樹</t>
  </si>
  <si>
    <t>山本 秀作</t>
  </si>
  <si>
    <t>脇谷 柊司</t>
  </si>
  <si>
    <t>田中 賢一郎</t>
  </si>
  <si>
    <t>山口 伸夫</t>
  </si>
  <si>
    <t>丸田 規博</t>
  </si>
  <si>
    <t>佐伯 淳</t>
  </si>
  <si>
    <t>豊島 昂太</t>
  </si>
  <si>
    <t>大中 友志</t>
  </si>
  <si>
    <t>八嶋 洋一</t>
  </si>
  <si>
    <t>林 大耀</t>
  </si>
  <si>
    <t>土居 昭</t>
  </si>
  <si>
    <t>梅沢 進</t>
  </si>
  <si>
    <t>髙橋 啓</t>
  </si>
  <si>
    <t>吉井 誠</t>
  </si>
  <si>
    <t>依田 真治</t>
  </si>
  <si>
    <t>野村 優太</t>
  </si>
  <si>
    <t>坂口 弘毅</t>
  </si>
  <si>
    <t>中山 隼佑</t>
  </si>
  <si>
    <t>太田 和敏</t>
  </si>
  <si>
    <t>阿部 裕崇</t>
  </si>
  <si>
    <t>松嶋 嶺</t>
  </si>
  <si>
    <t>トムテ スキークラブ</t>
  </si>
  <si>
    <t>城田 伸也</t>
  </si>
  <si>
    <t>山岸 達也</t>
  </si>
  <si>
    <t>市村 昇</t>
  </si>
  <si>
    <t>白戸 一正</t>
  </si>
  <si>
    <t>井上 裕大</t>
  </si>
  <si>
    <t>河合 信太朗</t>
  </si>
  <si>
    <t>西原 孝俊</t>
  </si>
  <si>
    <t>安藤 来波</t>
  </si>
  <si>
    <t>北村 優弥</t>
  </si>
  <si>
    <t>大澤 伶威</t>
  </si>
  <si>
    <t>近藤 英太</t>
  </si>
  <si>
    <t>坂本 暁祐</t>
  </si>
  <si>
    <t>酒井 優希</t>
  </si>
  <si>
    <t>袴田 秀昭</t>
  </si>
  <si>
    <t>小澤 健一郎</t>
  </si>
  <si>
    <t>押山 宏晃</t>
  </si>
  <si>
    <t>鈴木 日出男</t>
  </si>
  <si>
    <t>吉光 一郎</t>
  </si>
  <si>
    <t>髙橋 幸男</t>
  </si>
  <si>
    <t>工藤 陽生</t>
  </si>
  <si>
    <t>松村 昌幸</t>
  </si>
  <si>
    <t>岡田 哲人</t>
  </si>
  <si>
    <t>松原 健</t>
  </si>
  <si>
    <t>渡嘉敷 健</t>
  </si>
  <si>
    <t>溝口 祥之介</t>
  </si>
  <si>
    <t>馬場 仁</t>
  </si>
  <si>
    <t>久末 信行</t>
  </si>
  <si>
    <t>山内 辰馬</t>
  </si>
  <si>
    <t>小野澤 泰智</t>
  </si>
  <si>
    <t>佐藤 晶彦</t>
  </si>
  <si>
    <t>工藤 直樹</t>
  </si>
  <si>
    <t>塩原 明之</t>
  </si>
  <si>
    <t>柳田 秀樹</t>
  </si>
  <si>
    <t>山本 修</t>
  </si>
  <si>
    <t>小川 竜司</t>
  </si>
  <si>
    <t>和田 純一</t>
  </si>
  <si>
    <t>柴田 大斗</t>
  </si>
  <si>
    <t>野邊 倭</t>
  </si>
  <si>
    <t>平山 和成</t>
  </si>
  <si>
    <t>見波 弘</t>
  </si>
  <si>
    <t>今岡 湧人</t>
  </si>
  <si>
    <t>鈴木 秀駿</t>
  </si>
  <si>
    <t>杉田 雅宏</t>
  </si>
  <si>
    <t>ラッセルスキークラブ</t>
  </si>
  <si>
    <t>椿 秀啓</t>
  </si>
  <si>
    <t>小野 衛</t>
  </si>
  <si>
    <t>白崎 弘隆</t>
  </si>
  <si>
    <t>目黒 博雄</t>
  </si>
  <si>
    <t>寺岡 岳夫</t>
  </si>
  <si>
    <t>清水 颯太</t>
  </si>
  <si>
    <t>笠間 桂次</t>
  </si>
  <si>
    <t>吉田 治彦</t>
  </si>
  <si>
    <t>東 雄二郎</t>
  </si>
  <si>
    <t>関 義男</t>
  </si>
  <si>
    <t>永吉 洸綺</t>
  </si>
  <si>
    <t>小沼 佳史</t>
  </si>
  <si>
    <t>芝 諒真</t>
  </si>
  <si>
    <t>大塚 恒洸</t>
  </si>
  <si>
    <t>森田 哲男</t>
  </si>
  <si>
    <t>斉藤 広美</t>
  </si>
  <si>
    <t>藤森 幸三</t>
  </si>
  <si>
    <t>控井 悠太</t>
  </si>
  <si>
    <t>荒田 渓登</t>
  </si>
  <si>
    <t>永沼 崇彦</t>
  </si>
  <si>
    <t>早川 忍</t>
  </si>
  <si>
    <t>藤井 駿八</t>
  </si>
  <si>
    <t>川島 敏男</t>
  </si>
  <si>
    <t>佐藤 和彦</t>
  </si>
  <si>
    <t>栗原 玲音</t>
  </si>
  <si>
    <t>高津 義喜</t>
  </si>
  <si>
    <t>松本 周大</t>
  </si>
  <si>
    <t>中野 圭ニ</t>
  </si>
  <si>
    <t>柳田 雄大</t>
  </si>
  <si>
    <t>島村 蒼天</t>
  </si>
  <si>
    <t>伊藤 匠人</t>
  </si>
  <si>
    <t>磯 雄一</t>
  </si>
  <si>
    <t>酒井 宙</t>
  </si>
  <si>
    <t>鈴木 岳人</t>
  </si>
  <si>
    <t>家田 智也</t>
  </si>
  <si>
    <t>吉澤 恒平</t>
  </si>
  <si>
    <t>佐藤 励</t>
  </si>
  <si>
    <t>金田 和也</t>
  </si>
  <si>
    <t>石井 幹人</t>
  </si>
  <si>
    <t>國井 達宏</t>
  </si>
  <si>
    <t>石川 勝幸</t>
  </si>
  <si>
    <t>Ｋ．Ｓ．Ｃ</t>
  </si>
  <si>
    <t>関谷 隼太郎</t>
  </si>
  <si>
    <t>若木 陸真</t>
  </si>
  <si>
    <t>秦 憲伸</t>
  </si>
  <si>
    <t>仲野 守</t>
  </si>
  <si>
    <t>沢 正樹</t>
  </si>
  <si>
    <t>宮澤 慶</t>
  </si>
  <si>
    <t>神保 和俊</t>
  </si>
  <si>
    <t>宮木 泰造</t>
  </si>
  <si>
    <t>谷口 寿保　</t>
  </si>
  <si>
    <t>冨田 貴仁</t>
  </si>
  <si>
    <t>佐藤 康紀</t>
  </si>
  <si>
    <t>望月 史</t>
  </si>
  <si>
    <t>皆川 真潤</t>
  </si>
  <si>
    <t>形屋 亮一</t>
  </si>
  <si>
    <t>鈴木 進一</t>
  </si>
  <si>
    <t>加地 貴勝</t>
  </si>
  <si>
    <t>山口 孝</t>
  </si>
  <si>
    <t>若山 俊郎</t>
  </si>
  <si>
    <t>青梅市スキー連盟</t>
  </si>
  <si>
    <t>小野寺 徹</t>
  </si>
  <si>
    <t>吉橋 裕貴</t>
  </si>
  <si>
    <t>降旗 周二</t>
  </si>
  <si>
    <t>寺田 雄翔</t>
  </si>
  <si>
    <t>山内 大一</t>
  </si>
  <si>
    <t>難波 昭信</t>
  </si>
  <si>
    <t>小山 莉王</t>
  </si>
  <si>
    <t>濱武 旺史</t>
  </si>
  <si>
    <t>牧野 達朗</t>
  </si>
  <si>
    <t>重光 匡</t>
  </si>
  <si>
    <t>小山 昭司</t>
  </si>
  <si>
    <t>大塚 寛之</t>
  </si>
  <si>
    <t>国分寺市スキー連盟</t>
  </si>
  <si>
    <t>相坂 祐樹</t>
  </si>
  <si>
    <t>遠間 瑠吾</t>
  </si>
  <si>
    <t>八重樫 一仁</t>
  </si>
  <si>
    <t>峯山 陸</t>
  </si>
  <si>
    <t>嵯峨野 太一</t>
  </si>
  <si>
    <t>片桐 大樹</t>
  </si>
  <si>
    <t>出雲屋 一夫</t>
  </si>
  <si>
    <t>松本 奏流</t>
  </si>
  <si>
    <t>眞﨑 嵩</t>
  </si>
  <si>
    <t>山田 修</t>
  </si>
  <si>
    <t>小林 翼</t>
  </si>
  <si>
    <t>西垣 光平</t>
  </si>
  <si>
    <t>田屋 裕範</t>
  </si>
  <si>
    <t>吉澤 厘佑</t>
  </si>
  <si>
    <t>松木 克彦</t>
  </si>
  <si>
    <t>高木 暦</t>
  </si>
  <si>
    <t>新井 蔵人</t>
  </si>
  <si>
    <t>鎮目 隆夫</t>
  </si>
  <si>
    <t>東久留米市スキー連盟</t>
  </si>
  <si>
    <t>小瀬 嵩登</t>
  </si>
  <si>
    <t>安藤 啓人</t>
  </si>
  <si>
    <t>堀越 たかし</t>
  </si>
  <si>
    <t>小林 大悟</t>
  </si>
  <si>
    <t>佐野 孝夫</t>
  </si>
  <si>
    <t>渡辺 拓二</t>
  </si>
  <si>
    <t>有嶋 慧一朗</t>
  </si>
  <si>
    <t>渡辺 秀昭</t>
  </si>
  <si>
    <t>東芝府中工場スキー部</t>
  </si>
  <si>
    <t>小倉 昭彦</t>
  </si>
  <si>
    <t>大川 一郎</t>
  </si>
  <si>
    <t>齋藤 憲司</t>
  </si>
  <si>
    <t>深澤 六男</t>
  </si>
  <si>
    <t>西沢 武</t>
  </si>
  <si>
    <t>田中 実希</t>
  </si>
  <si>
    <t>西潟 三代次</t>
  </si>
  <si>
    <t>千石 文夫</t>
  </si>
  <si>
    <t>永吉 冴綺</t>
  </si>
  <si>
    <t>柿沼 黎生</t>
  </si>
  <si>
    <t>山本 悠人</t>
  </si>
  <si>
    <t>篠原 幾也</t>
  </si>
  <si>
    <t>鷺 佳生人</t>
  </si>
  <si>
    <t>井上 雅博</t>
  </si>
  <si>
    <t>葛飾区スキー連盟</t>
  </si>
  <si>
    <t>木村 拓朗</t>
  </si>
  <si>
    <t>塩沢 重利</t>
  </si>
  <si>
    <t>奥村 俊文</t>
  </si>
  <si>
    <t>笹本 裕貴</t>
  </si>
  <si>
    <t>山田 浩</t>
  </si>
  <si>
    <t>手嶋 竜夫</t>
  </si>
  <si>
    <t>宇田 悠真</t>
  </si>
  <si>
    <t>遠藤 辰朗</t>
  </si>
  <si>
    <t>池田 有輝</t>
  </si>
  <si>
    <t>大久保 雅司</t>
  </si>
  <si>
    <t>宮下 茂樹</t>
  </si>
  <si>
    <t>金子 雅弘</t>
  </si>
  <si>
    <t>佐藤 健児</t>
  </si>
  <si>
    <t>吉田 孝浩</t>
  </si>
  <si>
    <t>小幡 雪柊</t>
  </si>
  <si>
    <t>岩谷 三兵</t>
  </si>
  <si>
    <t>兼子 祐弥</t>
  </si>
  <si>
    <t>石井 久雄</t>
  </si>
  <si>
    <t>堀江 玄一郎</t>
  </si>
  <si>
    <t>加藤 圭基</t>
  </si>
  <si>
    <t>川上 惇</t>
  </si>
  <si>
    <t>小山 祐輝</t>
  </si>
  <si>
    <t>松嶋 敏泰</t>
  </si>
  <si>
    <t>上妻 隆斗</t>
  </si>
  <si>
    <t>吉原 稔幸</t>
  </si>
  <si>
    <t>野瀬 重治</t>
  </si>
  <si>
    <t>小口 慶樹</t>
  </si>
  <si>
    <t>鈴木 海渡</t>
  </si>
  <si>
    <t>小宮山 直人</t>
  </si>
  <si>
    <t>八久保 幸夫</t>
  </si>
  <si>
    <t>河田 壮生</t>
  </si>
  <si>
    <t>古川 雄一朗</t>
  </si>
  <si>
    <t>二見 裕樹</t>
  </si>
  <si>
    <t>小野寺 真也</t>
  </si>
  <si>
    <t>合野 一明</t>
  </si>
  <si>
    <t>宮城 良佑</t>
  </si>
  <si>
    <t>真次 晃央</t>
  </si>
  <si>
    <t>細野 里音</t>
  </si>
  <si>
    <t>羽田 慶仁</t>
  </si>
  <si>
    <t>野中 史久</t>
  </si>
  <si>
    <t>清水 遊</t>
  </si>
  <si>
    <t>山本 章太</t>
  </si>
  <si>
    <t>青井 康徳</t>
  </si>
  <si>
    <t>築地 貴之</t>
  </si>
  <si>
    <t>潮 真也</t>
  </si>
  <si>
    <t>小熊 健祐</t>
  </si>
  <si>
    <t>西下 愛也</t>
  </si>
  <si>
    <t>吉川 慎太郎</t>
  </si>
  <si>
    <t>熊谷 大仁</t>
  </si>
  <si>
    <t>傳田 悠太郎</t>
  </si>
  <si>
    <t>山本 皓乃</t>
  </si>
  <si>
    <t>濱野 弘大</t>
  </si>
  <si>
    <t>樋脇 雄飛</t>
  </si>
  <si>
    <t>藤巻 有久</t>
  </si>
  <si>
    <t>田中 成幸</t>
  </si>
  <si>
    <t>上島 大輝</t>
  </si>
  <si>
    <t>木越 健輔</t>
  </si>
  <si>
    <t>高見 淳</t>
  </si>
  <si>
    <t>内田 光太郎</t>
  </si>
  <si>
    <t>湯浅 統大</t>
  </si>
  <si>
    <t>田邊 信一</t>
  </si>
  <si>
    <t>尾形 俊輔</t>
  </si>
  <si>
    <t>長澤 豊</t>
  </si>
  <si>
    <t>鎌田 慈</t>
  </si>
  <si>
    <t>宮崎 真志</t>
  </si>
  <si>
    <t>小島 陽介</t>
  </si>
  <si>
    <t>塚田 悠生</t>
  </si>
  <si>
    <t>福田 俊介</t>
  </si>
  <si>
    <t>正能 憲一</t>
  </si>
  <si>
    <t>太田 悠斗</t>
  </si>
  <si>
    <t>佐藤 太朗</t>
  </si>
  <si>
    <t>前田 泰佑</t>
  </si>
  <si>
    <t>玉井 浩</t>
  </si>
  <si>
    <t>東京ヴェーデルンスキークラブ</t>
  </si>
  <si>
    <t>須和田 卓弥</t>
  </si>
  <si>
    <t>高橋 誠</t>
  </si>
  <si>
    <t>篠﨑 敏男</t>
  </si>
  <si>
    <t>天野 旭雅</t>
  </si>
  <si>
    <t>外山 智士</t>
  </si>
  <si>
    <t>野々村 和平</t>
  </si>
  <si>
    <t>片山 恒次</t>
  </si>
  <si>
    <t>田中 大成</t>
  </si>
  <si>
    <t>鈴木 啓太</t>
  </si>
  <si>
    <t>柴田 徹</t>
  </si>
  <si>
    <t>石川 海</t>
  </si>
  <si>
    <t>網干 雄己</t>
  </si>
  <si>
    <t>大塚 公太</t>
  </si>
  <si>
    <t>吉田 圭佑</t>
  </si>
  <si>
    <t>亀井 勇希</t>
  </si>
  <si>
    <t>佐久間 大輔</t>
  </si>
  <si>
    <t>植草 悠介</t>
  </si>
  <si>
    <t>池永 福太郎</t>
  </si>
  <si>
    <t>佐藤 英司</t>
  </si>
  <si>
    <t>手塚 敬之</t>
  </si>
  <si>
    <t>原田 一紀</t>
  </si>
  <si>
    <t>草野 龍輝</t>
  </si>
  <si>
    <t>髙橋 龍一郎</t>
  </si>
  <si>
    <t>武居 知</t>
  </si>
  <si>
    <t>布施 玲於奈</t>
  </si>
  <si>
    <t>冨井 平</t>
  </si>
  <si>
    <t>内藤 友博</t>
  </si>
  <si>
    <t>能登 正之</t>
  </si>
  <si>
    <t>助川 尚一</t>
  </si>
  <si>
    <t>本田 渉</t>
  </si>
  <si>
    <t>遠藤 海洸</t>
  </si>
  <si>
    <t>大門 一郎</t>
  </si>
  <si>
    <t>クオリティ・セブン</t>
  </si>
  <si>
    <t>鈴木 貫也</t>
  </si>
  <si>
    <t>五味 信治</t>
  </si>
  <si>
    <t>河西 悠登</t>
  </si>
  <si>
    <t>濱元 拓実</t>
  </si>
  <si>
    <t>田村 優有</t>
  </si>
  <si>
    <t>鈴木 尚人</t>
  </si>
  <si>
    <t>深見 国興</t>
  </si>
  <si>
    <t>仲田 詠一</t>
  </si>
  <si>
    <t>松田 浩太朗</t>
  </si>
  <si>
    <t>板倉 治男</t>
  </si>
  <si>
    <t>村上 靖</t>
  </si>
  <si>
    <t>高橋 大夢</t>
  </si>
  <si>
    <t>赤坂 健</t>
  </si>
  <si>
    <t>上山 遼</t>
  </si>
  <si>
    <t>木村 颯汰</t>
  </si>
  <si>
    <t>鳥居 俊介</t>
  </si>
  <si>
    <t>宮地 好彦</t>
  </si>
  <si>
    <t>渡邊 嗣公</t>
  </si>
  <si>
    <t>里村 弘志</t>
  </si>
  <si>
    <t>加川 善久</t>
  </si>
  <si>
    <t>髙木 翔弥</t>
  </si>
  <si>
    <t>奥山 侑祐</t>
  </si>
  <si>
    <t>渡邊 智洋</t>
  </si>
  <si>
    <t>白木 伸行</t>
  </si>
  <si>
    <t>金澤 幸太</t>
  </si>
  <si>
    <t>山口 暁史</t>
  </si>
  <si>
    <t>酒井 孝一</t>
  </si>
  <si>
    <t>立原 博</t>
  </si>
  <si>
    <t>鍋山 颯斗</t>
  </si>
  <si>
    <t>池田 英昭</t>
  </si>
  <si>
    <t>堀川 廣</t>
  </si>
  <si>
    <t>渡辺 燎太</t>
  </si>
  <si>
    <t>長久 幸之介</t>
  </si>
  <si>
    <t>藤郷 剣太郎</t>
  </si>
  <si>
    <t>木村 篤樹</t>
  </si>
  <si>
    <t>佐藤 忠雄</t>
  </si>
  <si>
    <t>山田 紘淳</t>
  </si>
  <si>
    <t>荒山 勝正</t>
  </si>
  <si>
    <t>鈴木 蒼大</t>
  </si>
  <si>
    <t>三原 颯</t>
  </si>
  <si>
    <t>後藤 寛</t>
  </si>
  <si>
    <t>細谷 智雄</t>
  </si>
  <si>
    <t>時田 正敏</t>
  </si>
  <si>
    <t>山田 芽來</t>
  </si>
  <si>
    <t>平田 昌範</t>
  </si>
  <si>
    <t>小永井 徹</t>
  </si>
  <si>
    <t>星野 峻一</t>
  </si>
  <si>
    <t>佐藤 久人</t>
  </si>
  <si>
    <t>木田 悠斗</t>
  </si>
  <si>
    <t>大森 春英</t>
  </si>
  <si>
    <t>武江 知寛</t>
  </si>
  <si>
    <t>甲田 聖志郎</t>
  </si>
  <si>
    <t>富岡 宏太朗</t>
  </si>
  <si>
    <t>須藤 琉心</t>
  </si>
  <si>
    <t>高橋 浩一</t>
  </si>
  <si>
    <t>田島 凜斗</t>
  </si>
  <si>
    <t>齊藤 真希生</t>
  </si>
  <si>
    <t>河村 凜太郎</t>
  </si>
  <si>
    <t>寺瀬 克美</t>
  </si>
  <si>
    <t>志賀高原スキークラブ</t>
  </si>
  <si>
    <t>渡部 輝</t>
  </si>
  <si>
    <t>小松 俊彦</t>
  </si>
  <si>
    <t>家村 凌平</t>
  </si>
  <si>
    <t>岡田 達弥</t>
  </si>
  <si>
    <t>古賀 久國</t>
  </si>
  <si>
    <t>谷 啓</t>
  </si>
  <si>
    <t>渡邉 海斗</t>
  </si>
  <si>
    <t>金子 優輝</t>
  </si>
  <si>
    <t>蛭川 恒</t>
  </si>
  <si>
    <t>関 晃</t>
  </si>
  <si>
    <t>石井 晃</t>
  </si>
  <si>
    <t>柴山 達弘</t>
  </si>
  <si>
    <t>土肥 尚也</t>
  </si>
  <si>
    <t>鈴木 隆太</t>
  </si>
  <si>
    <t>鳥居 和功</t>
  </si>
  <si>
    <t>武藤 力</t>
  </si>
  <si>
    <t>細川 祥</t>
  </si>
  <si>
    <t>岩田 天玄</t>
  </si>
  <si>
    <t>渡邉 理久</t>
  </si>
  <si>
    <t>柿内 隆</t>
  </si>
  <si>
    <t>越水 雅裕</t>
  </si>
  <si>
    <t>松村 優輝</t>
  </si>
  <si>
    <t>稲葉 陽生</t>
  </si>
  <si>
    <t>石川 賢一</t>
  </si>
  <si>
    <t>青木 彗</t>
  </si>
  <si>
    <t>林 泰地</t>
  </si>
  <si>
    <t>熊本 晴太</t>
  </si>
  <si>
    <t>舘内 直人</t>
  </si>
  <si>
    <t>滝沢 正</t>
  </si>
  <si>
    <t>三瓶 大河</t>
  </si>
  <si>
    <t>重田 雅文</t>
  </si>
  <si>
    <t>三賀山 嗣穏</t>
  </si>
  <si>
    <t>大田 夏輝</t>
  </si>
  <si>
    <t>松岡 輝</t>
  </si>
  <si>
    <t>志摩 泰成</t>
  </si>
  <si>
    <t>萩原 隆之介</t>
  </si>
  <si>
    <t>佐藤 良</t>
  </si>
  <si>
    <t>金子 佑介</t>
  </si>
  <si>
    <t>清水 誠</t>
  </si>
  <si>
    <t>藤巻 忠夫</t>
  </si>
  <si>
    <t>直井 俊樹</t>
  </si>
  <si>
    <t>小川 卓真</t>
  </si>
  <si>
    <t>北村 明</t>
  </si>
  <si>
    <t>大木 秀介</t>
  </si>
  <si>
    <t>近藤 哲</t>
  </si>
  <si>
    <t>河野 夏海</t>
  </si>
  <si>
    <t>大西 望</t>
  </si>
  <si>
    <t>半田 楓</t>
  </si>
  <si>
    <t>宮﨑 涼輔</t>
  </si>
  <si>
    <t>山田 人司</t>
  </si>
  <si>
    <t>高塚 要</t>
  </si>
  <si>
    <t>杉本 怜哉</t>
  </si>
  <si>
    <t>三浦 篤</t>
  </si>
  <si>
    <t>高橋 遼太</t>
  </si>
  <si>
    <t>鳥居 宗一郎</t>
  </si>
  <si>
    <t>岡村 幸央</t>
  </si>
  <si>
    <t>樋口 遼大</t>
  </si>
  <si>
    <t>一ノ瀬 迅</t>
  </si>
  <si>
    <t>神野 登美夫</t>
  </si>
  <si>
    <t>櫻井 智偲</t>
  </si>
  <si>
    <t>磯崎 俊輔</t>
  </si>
  <si>
    <t>柳沼 均</t>
  </si>
  <si>
    <t>西川 将太郎</t>
  </si>
  <si>
    <t>羽村 悠樹</t>
  </si>
  <si>
    <t>松本 昭夫</t>
  </si>
  <si>
    <t>スカオイスキークラブ</t>
  </si>
  <si>
    <t>三浦 弘充</t>
  </si>
  <si>
    <t>石塚 瑛之</t>
  </si>
  <si>
    <t>久富 知弘</t>
  </si>
  <si>
    <t>内藤 寛貴</t>
  </si>
  <si>
    <t>北澤 純</t>
  </si>
  <si>
    <t>池田 稜介</t>
  </si>
  <si>
    <t>藤本 勇</t>
  </si>
  <si>
    <t>滝沢 悠介</t>
  </si>
  <si>
    <t>目連 宗一郎</t>
  </si>
  <si>
    <t>藤田 冬馬</t>
  </si>
  <si>
    <t>吉田 太耀</t>
  </si>
  <si>
    <t>星 貞清</t>
  </si>
  <si>
    <t>ウィンズスキークラブ</t>
  </si>
  <si>
    <t>中村 利壮</t>
  </si>
  <si>
    <t>横山 福人</t>
  </si>
  <si>
    <t>渡邊 瑠佳</t>
  </si>
  <si>
    <t>下田 智也</t>
  </si>
  <si>
    <t>三島 麟太郎</t>
  </si>
  <si>
    <t>仲山 俊夫</t>
  </si>
  <si>
    <t>鶴味 裕太</t>
  </si>
  <si>
    <t>井村 陽</t>
  </si>
  <si>
    <t>春日 裕貴</t>
  </si>
  <si>
    <t>秋田 岳陽</t>
  </si>
  <si>
    <t>中江 朋弘</t>
  </si>
  <si>
    <t>斉藤 孝夫</t>
  </si>
  <si>
    <t>長井 明</t>
  </si>
  <si>
    <t>殿村 幹也</t>
  </si>
  <si>
    <t>石井 豊紀</t>
  </si>
  <si>
    <t>城田 克也</t>
  </si>
  <si>
    <t>嘉門 智一郎</t>
  </si>
  <si>
    <t>前田 凛之介</t>
  </si>
  <si>
    <t>井上 千之助</t>
  </si>
  <si>
    <t>高橋 侑作</t>
  </si>
  <si>
    <t>中村 駿大</t>
  </si>
  <si>
    <t>吉田 舜</t>
  </si>
  <si>
    <t>山口 直正</t>
  </si>
  <si>
    <t>松本 陽一</t>
  </si>
  <si>
    <t>西大條 育孝</t>
  </si>
  <si>
    <t>上原 大樹</t>
  </si>
  <si>
    <t>高橋 靖昌</t>
  </si>
  <si>
    <t>組田 光一</t>
  </si>
  <si>
    <t>栁原 昌幸</t>
  </si>
  <si>
    <t>齊藤 大樹</t>
  </si>
  <si>
    <t>杉崎 壽三男</t>
  </si>
  <si>
    <t>渡辺 悠斗</t>
  </si>
  <si>
    <t>國井 高志</t>
  </si>
  <si>
    <t>吉川 武</t>
  </si>
  <si>
    <t>戸舘 宗一朗</t>
  </si>
  <si>
    <t>荻生 崚太郎</t>
  </si>
  <si>
    <t>坂 和真</t>
  </si>
  <si>
    <t>佐藤 光</t>
  </si>
  <si>
    <t>高木 曜</t>
  </si>
  <si>
    <t>細田 輝大</t>
  </si>
  <si>
    <t>田村 孝嗣</t>
  </si>
  <si>
    <t>髙橋 孫一郎</t>
  </si>
  <si>
    <t>小菅 耕大</t>
  </si>
  <si>
    <t>蜂巣 頌</t>
  </si>
  <si>
    <t>柴山 諒太</t>
  </si>
  <si>
    <t>控井 健太</t>
  </si>
  <si>
    <t>白嶺スキーチーム</t>
  </si>
  <si>
    <t>舛巴 紳二</t>
  </si>
  <si>
    <t>遠藤 義信</t>
  </si>
  <si>
    <t>平沢 健一</t>
  </si>
  <si>
    <t>坂口 直弥</t>
  </si>
  <si>
    <t>仲 誠也</t>
  </si>
  <si>
    <t>岡崎 光宏</t>
  </si>
  <si>
    <t>國部 望</t>
  </si>
  <si>
    <t>長谷川 春彦</t>
  </si>
  <si>
    <t>荒井 俊彦</t>
  </si>
  <si>
    <t>光芳 陸</t>
  </si>
  <si>
    <t>佐藤 義隆</t>
  </si>
  <si>
    <t>日本エイトマンスキークラブ</t>
  </si>
  <si>
    <t>逢坂 寛光</t>
  </si>
  <si>
    <t>稲葉 隆司</t>
  </si>
  <si>
    <t>佐藤 泰山</t>
  </si>
  <si>
    <t>羽部 晃広</t>
  </si>
  <si>
    <t>栗原 楓</t>
  </si>
  <si>
    <t>二階堂 裕</t>
  </si>
  <si>
    <t>頓宮 寛正</t>
  </si>
  <si>
    <t>藤田 英雄</t>
  </si>
  <si>
    <t>後藤 俊文</t>
  </si>
  <si>
    <t>阿野 苑弥</t>
  </si>
  <si>
    <t>小野寺 進太朗</t>
  </si>
  <si>
    <t>鳴海 柊平</t>
  </si>
  <si>
    <t>堀米 力暉</t>
  </si>
  <si>
    <t>武藤 正晃</t>
  </si>
  <si>
    <t>近藤 涼輔</t>
  </si>
  <si>
    <t>飛山 龍ノ介</t>
  </si>
  <si>
    <t>秋山 和輝</t>
  </si>
  <si>
    <t>中村 祐介</t>
  </si>
  <si>
    <t>佐藤 建太郎</t>
  </si>
  <si>
    <t>富田 暁</t>
  </si>
  <si>
    <t>渡辺 周</t>
  </si>
  <si>
    <t>松澤 宏一</t>
  </si>
  <si>
    <t>鈴木 優櫂</t>
  </si>
  <si>
    <t>東垣内 牧男</t>
  </si>
  <si>
    <t>山本 義之</t>
  </si>
  <si>
    <t>山根 鷹之臣</t>
  </si>
  <si>
    <t>島本 拓海</t>
  </si>
  <si>
    <t>小林 直樹</t>
  </si>
  <si>
    <t>榎 康太郎</t>
  </si>
  <si>
    <t>村上 博史</t>
  </si>
  <si>
    <t>愛宕 通隆</t>
  </si>
  <si>
    <t>渡部 知駿</t>
  </si>
  <si>
    <t>新井 昌汰</t>
  </si>
  <si>
    <t>野口 耀大</t>
  </si>
  <si>
    <t>川田 裕貴</t>
  </si>
  <si>
    <t>田口 裕一</t>
  </si>
  <si>
    <t>谷川 一貴</t>
  </si>
  <si>
    <t>久田 雄三</t>
  </si>
  <si>
    <t>槇 孝雄</t>
  </si>
  <si>
    <t>松村 真</t>
  </si>
  <si>
    <t>岩本 慎太郎</t>
  </si>
  <si>
    <t>斎藤 佑起</t>
  </si>
  <si>
    <t>森田 響</t>
  </si>
  <si>
    <t>宇田 純大</t>
  </si>
  <si>
    <t>佐藤 典雄</t>
  </si>
  <si>
    <t>篠田 晴</t>
  </si>
  <si>
    <t>渡辺 由文</t>
  </si>
  <si>
    <t>中川 琉晟</t>
  </si>
  <si>
    <t>中野 朝司</t>
  </si>
  <si>
    <t>島田 雄気</t>
  </si>
  <si>
    <t>大塚 陽向</t>
  </si>
  <si>
    <t>高橋 健太</t>
  </si>
  <si>
    <t>藤崎 裕人</t>
  </si>
  <si>
    <t>半澤 進</t>
  </si>
  <si>
    <t>渥見 悠太</t>
  </si>
  <si>
    <t>渡邊 一之介</t>
  </si>
  <si>
    <t>花田 美生</t>
  </si>
  <si>
    <t>穴井 慶</t>
  </si>
  <si>
    <t>小川 幸介</t>
  </si>
  <si>
    <t>鷹橋 幸一郎</t>
  </si>
  <si>
    <t>高木 翔太</t>
  </si>
  <si>
    <t>江村 航大</t>
  </si>
  <si>
    <t>坂本 郁矢</t>
  </si>
  <si>
    <t>大谷 泰斗</t>
  </si>
  <si>
    <t>赤川 琢人</t>
  </si>
  <si>
    <t>荒井 祐颯</t>
  </si>
  <si>
    <t>阿部 央季</t>
  </si>
  <si>
    <t>川上 龍之介</t>
  </si>
  <si>
    <t>古川 開</t>
  </si>
  <si>
    <t>福本 将士</t>
  </si>
  <si>
    <t>泉澤 亮太</t>
  </si>
  <si>
    <t>富澤 拓紀</t>
  </si>
  <si>
    <t>長濱 宇宙</t>
  </si>
  <si>
    <t>稲葉 慶太朗</t>
  </si>
  <si>
    <t>松矢 英晶</t>
  </si>
  <si>
    <t>畠山 智生</t>
  </si>
  <si>
    <t>古山 聖哉</t>
  </si>
  <si>
    <t>林 岩男</t>
  </si>
  <si>
    <t>小林 亮太</t>
  </si>
  <si>
    <t>片野 志郎</t>
  </si>
  <si>
    <t>北本 滉太郎</t>
  </si>
  <si>
    <t>守屋 直希</t>
  </si>
  <si>
    <t>福岡 素志</t>
  </si>
  <si>
    <t>井下 聖葵</t>
  </si>
  <si>
    <t>荒川 博之</t>
  </si>
  <si>
    <t>秋庭 克行</t>
  </si>
  <si>
    <t>白木 智也</t>
  </si>
  <si>
    <t>橋本 優吾</t>
  </si>
  <si>
    <t>野口 直樹</t>
  </si>
  <si>
    <t>飯嶌 笙</t>
  </si>
  <si>
    <t>深谷 雄人</t>
  </si>
  <si>
    <t>青木 悠</t>
  </si>
  <si>
    <t>前田 航</t>
  </si>
  <si>
    <t>福島 牧人</t>
  </si>
  <si>
    <t>恩田 玲央</t>
  </si>
  <si>
    <t>中島 啓裕</t>
  </si>
  <si>
    <t>保坂 勇太</t>
  </si>
  <si>
    <t>土志田 進太郎</t>
  </si>
  <si>
    <t>店網 宏樹</t>
  </si>
  <si>
    <t>北垣 秀人</t>
  </si>
  <si>
    <t>中川 晴登</t>
  </si>
  <si>
    <t>河西 優</t>
  </si>
  <si>
    <t>坂東 遼翼</t>
  </si>
  <si>
    <t>窪田 遼輔</t>
  </si>
  <si>
    <t>新井 海翔</t>
  </si>
  <si>
    <t>高田 一輝</t>
  </si>
  <si>
    <t>南部 祥和</t>
  </si>
  <si>
    <t>栗橋 優輔</t>
  </si>
  <si>
    <t>花園 智行</t>
  </si>
  <si>
    <t>長谷川 雄大</t>
  </si>
  <si>
    <t>姉崎 寛</t>
  </si>
  <si>
    <t>黒田 義稀</t>
  </si>
  <si>
    <t>高安 洋翔</t>
  </si>
  <si>
    <t>深谷 怜伸</t>
  </si>
  <si>
    <t>上原 颯馬</t>
  </si>
  <si>
    <t>鈴木 凰心</t>
  </si>
  <si>
    <t>安藤 謙真</t>
  </si>
  <si>
    <t>岡田 優人</t>
  </si>
  <si>
    <t>香取 大輝</t>
  </si>
  <si>
    <t>渡辺 友広</t>
  </si>
  <si>
    <t>小川 大祐</t>
  </si>
  <si>
    <t>岩本 恵祐</t>
  </si>
  <si>
    <t>櫻井 洸希</t>
  </si>
  <si>
    <t>小林 寛武</t>
  </si>
  <si>
    <t>武田 光一郎</t>
  </si>
  <si>
    <t>浅香 圭吾</t>
  </si>
  <si>
    <t>立川 健介</t>
  </si>
  <si>
    <t>根岸 大己</t>
  </si>
  <si>
    <t>石川 琉誠</t>
  </si>
  <si>
    <t>渡邊 和樹</t>
  </si>
  <si>
    <t>清水 俊</t>
  </si>
  <si>
    <t>野村 海人</t>
  </si>
  <si>
    <t>梅根 航希</t>
  </si>
  <si>
    <t>伊藤 尚泰</t>
  </si>
  <si>
    <t>久保嶋 悠人</t>
  </si>
  <si>
    <t>熊崎 亮太</t>
  </si>
  <si>
    <t>畠山 茂信</t>
  </si>
  <si>
    <t>豊永 大河</t>
  </si>
  <si>
    <t>斉藤 晴紀</t>
  </si>
  <si>
    <t>辻 悠希</t>
  </si>
  <si>
    <t>沼野 俊平</t>
  </si>
  <si>
    <t>高橋 哲哉</t>
  </si>
  <si>
    <t>井上 知哉</t>
  </si>
  <si>
    <t>大橋 周造</t>
  </si>
  <si>
    <t>庄本 涼馬</t>
  </si>
  <si>
    <t>桒田 栞典</t>
  </si>
  <si>
    <t>万崎 靖一</t>
  </si>
  <si>
    <t>高橋 長三郎</t>
  </si>
  <si>
    <t>東京石楠花会</t>
  </si>
  <si>
    <t>髙橋 直希</t>
  </si>
  <si>
    <t>吉川 泰永</t>
  </si>
  <si>
    <t>緑川 浩太朗</t>
  </si>
  <si>
    <t>庄司 遥</t>
  </si>
  <si>
    <t>髙安 邑太郎</t>
  </si>
  <si>
    <t>竹本 航</t>
  </si>
  <si>
    <t>石田 佳明</t>
  </si>
  <si>
    <t>新井 綾馬</t>
  </si>
  <si>
    <t>渡部 良樹</t>
  </si>
  <si>
    <t>山田 泰之進</t>
  </si>
  <si>
    <t>西城 法遵</t>
  </si>
  <si>
    <t>大竹 陸</t>
  </si>
  <si>
    <t>馳 悠</t>
  </si>
  <si>
    <t>永曽 雄一郎</t>
  </si>
  <si>
    <t>谷口 大騎</t>
  </si>
  <si>
    <t>井田 光祝</t>
  </si>
  <si>
    <t>光野 拓馬</t>
  </si>
  <si>
    <t>神山 鷹揚</t>
  </si>
  <si>
    <t>坂本 渉馬</t>
  </si>
  <si>
    <t>折茂 海</t>
  </si>
  <si>
    <t>大久保 慶人</t>
  </si>
  <si>
    <t>津田 祐輔</t>
  </si>
  <si>
    <t>小田島 孝</t>
  </si>
  <si>
    <t>荒井 颯治</t>
  </si>
  <si>
    <t>小和田 雄太</t>
  </si>
  <si>
    <t>岡村 良之新</t>
  </si>
  <si>
    <t>高木 洋羽</t>
  </si>
  <si>
    <t>明石 響</t>
  </si>
  <si>
    <t>山田 琥太郎</t>
  </si>
  <si>
    <t>北内 大嵩</t>
  </si>
  <si>
    <t>伊藤 悠生</t>
  </si>
  <si>
    <t>永井 佑亮</t>
  </si>
  <si>
    <t>野木 嘉孝</t>
  </si>
  <si>
    <t>緒方 希</t>
  </si>
  <si>
    <t>木元 丈</t>
  </si>
  <si>
    <t>友部 尚輝</t>
  </si>
  <si>
    <t>唐木 大貴</t>
  </si>
  <si>
    <t>髙田 琉聖</t>
  </si>
  <si>
    <t>坂井 頌</t>
  </si>
  <si>
    <t>佐藤 有馬</t>
  </si>
  <si>
    <t>三浦 友三</t>
  </si>
  <si>
    <t>鈴鹿 航太</t>
  </si>
  <si>
    <t>磯田 雄大</t>
  </si>
  <si>
    <t>佐藤 拓実</t>
  </si>
  <si>
    <t>片野 翔太</t>
  </si>
  <si>
    <t>岡田 拓純</t>
  </si>
  <si>
    <t>菅野 翔生</t>
  </si>
  <si>
    <t>藤田 悠一郎</t>
  </si>
  <si>
    <t>小南 瑛史</t>
  </si>
  <si>
    <t>山田 来紀</t>
  </si>
  <si>
    <t>岩名 一樹</t>
  </si>
  <si>
    <t>荻原 遼</t>
  </si>
  <si>
    <t>小森 大輔</t>
  </si>
  <si>
    <t>鳥羽 莞爾</t>
  </si>
  <si>
    <t>江黒 文隆</t>
  </si>
  <si>
    <t>大木 悠嵩</t>
  </si>
  <si>
    <t>長谷川 武</t>
  </si>
  <si>
    <t>調布市スキー連盟</t>
  </si>
  <si>
    <t>新井 公大</t>
  </si>
  <si>
    <t>杉田 廉成</t>
  </si>
  <si>
    <t>藤林 勝</t>
  </si>
  <si>
    <t>武田 基秀</t>
  </si>
  <si>
    <t>澤根 永一</t>
  </si>
  <si>
    <t>恩田 拓海</t>
  </si>
  <si>
    <t>久力 大和</t>
  </si>
  <si>
    <t>小川 千太郎</t>
  </si>
  <si>
    <t>村上 孔介</t>
  </si>
  <si>
    <t>長谷川 凛</t>
  </si>
  <si>
    <t>有賀 大貴</t>
  </si>
  <si>
    <t>太田 聡</t>
  </si>
  <si>
    <t>保戸塚 信之介</t>
  </si>
  <si>
    <t>山下 庸</t>
  </si>
  <si>
    <t>濱田 一輝</t>
  </si>
  <si>
    <t>山本 裕輝</t>
  </si>
  <si>
    <t>髙田 寛樹</t>
  </si>
  <si>
    <t>一丸 修人</t>
  </si>
  <si>
    <t>原嶋 洋輔</t>
  </si>
  <si>
    <t>光山 格</t>
  </si>
  <si>
    <t>小嶋 俊亮</t>
  </si>
  <si>
    <t>細川 凱央</t>
  </si>
  <si>
    <t>田中 遥希</t>
  </si>
  <si>
    <t>岡道 智紀</t>
  </si>
  <si>
    <t>畠山 翔太</t>
  </si>
  <si>
    <t>山中 祐之介</t>
  </si>
  <si>
    <t>胡 以心</t>
  </si>
  <si>
    <t>植田 晃生</t>
  </si>
  <si>
    <t>山﨑 雅之</t>
  </si>
  <si>
    <t>成宮 颯太</t>
  </si>
  <si>
    <t>臼井 龍一</t>
  </si>
  <si>
    <t>長谷 陽斗</t>
  </si>
  <si>
    <t>赤瀬 琉輝</t>
  </si>
  <si>
    <t>岡田 渚音</t>
  </si>
  <si>
    <t>須藤 亀蔵</t>
  </si>
  <si>
    <t>島宮 一喜</t>
  </si>
  <si>
    <t>小坂 興平</t>
  </si>
  <si>
    <t>伊藤 大和</t>
  </si>
  <si>
    <t>大会ＰＰ</t>
    <rPh sb="0" eb="2">
      <t>タイカイ</t>
    </rPh>
    <phoneticPr fontId="18"/>
  </si>
  <si>
    <t>〇</t>
    <phoneticPr fontId="18"/>
  </si>
  <si>
    <t>〇</t>
    <phoneticPr fontId="18"/>
  </si>
  <si>
    <t>〇</t>
    <phoneticPr fontId="18"/>
  </si>
  <si>
    <t>〇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</si>
</sst>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19" fillId="0" borderId="10" xfId="0" applyNumberFormat="1" applyFont="1" applyBorder="1">
      <alignment vertical="center"/>
    </xf>
    <xf numFmtId="176" fontId="20" fillId="0" borderId="10" xfId="0" applyNumberFormat="1" applyFont="1" applyBorder="1" applyAlignment="1">
      <alignment horizontal="right" vertical="center"/>
    </xf>
    <xf numFmtId="176" fontId="21" fillId="0" borderId="10" xfId="0" applyNumberFormat="1" applyFont="1" applyBorder="1" applyAlignment="1">
      <alignment horizontal="center" vertical="center"/>
    </xf>
    <xf numFmtId="176" fontId="21" fillId="0" borderId="10" xfId="0" applyNumberFormat="1" applyFont="1" applyBorder="1" applyAlignment="1">
      <alignment horizontal="right" vertical="center"/>
    </xf>
    <xf numFmtId="176" fontId="21" fillId="0" borderId="0" xfId="0" applyNumberFormat="1" applyFont="1">
      <alignment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right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176" fontId="20" fillId="0" borderId="10" xfId="0" applyNumberFormat="1" applyFont="1" applyBorder="1" applyAlignment="1">
      <alignment horizontal="center" vertical="center" wrapText="1"/>
    </xf>
    <xf numFmtId="176" fontId="20" fillId="0" borderId="0" xfId="0" applyNumberFormat="1" applyFont="1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O1296"/>
  <sheetViews>
    <sheetView tabSelected="1" zoomScaleNormal="100" workbookViewId="0"/>
  </sheetViews>
  <sheetFormatPr defaultRowHeight="13.5"/>
  <cols>
    <col min="1" max="2" width="8.5" style="11" customWidth="1"/>
    <col min="3" max="3" width="14.5" style="11" customWidth="1"/>
    <col min="4" max="4" width="31.625" style="11" customWidth="1"/>
    <col min="5" max="5" width="10" style="15" customWidth="1"/>
    <col min="6" max="6" width="7.75" style="12" customWidth="1"/>
    <col min="7" max="7" width="8.375" style="12" customWidth="1"/>
    <col min="8" max="8" width="9.75" style="13" customWidth="1"/>
    <col min="9" max="41" width="8.5" style="13" customWidth="1"/>
    <col min="42" max="70" width="8.5" style="11" customWidth="1"/>
    <col min="71" max="16384" width="9" style="11"/>
  </cols>
  <sheetData>
    <row r="1" spans="1:41" s="5" customFormat="1">
      <c r="A1" s="1" t="s">
        <v>103</v>
      </c>
      <c r="B1" s="1"/>
      <c r="C1" s="1"/>
      <c r="D1" s="1"/>
      <c r="E1" s="2"/>
      <c r="F1" s="3"/>
      <c r="G1" s="3"/>
      <c r="H1" s="4" t="s">
        <v>1490</v>
      </c>
      <c r="I1" s="4">
        <v>0</v>
      </c>
      <c r="J1" s="4">
        <v>0</v>
      </c>
      <c r="K1" s="4">
        <v>0</v>
      </c>
      <c r="L1" s="4">
        <v>0</v>
      </c>
      <c r="M1" s="4">
        <v>82.25</v>
      </c>
      <c r="N1" s="4">
        <v>98.77</v>
      </c>
      <c r="O1" s="4">
        <v>76.66</v>
      </c>
      <c r="P1" s="4">
        <v>115.55</v>
      </c>
      <c r="Q1" s="4">
        <v>40.78</v>
      </c>
      <c r="R1" s="4">
        <v>44.57</v>
      </c>
      <c r="S1" s="4">
        <v>0</v>
      </c>
      <c r="T1" s="4">
        <v>54.09</v>
      </c>
      <c r="U1" s="4">
        <v>163.76</v>
      </c>
      <c r="V1" s="4">
        <v>54.32</v>
      </c>
      <c r="W1" s="4">
        <v>189.2</v>
      </c>
      <c r="X1" s="4">
        <v>177.46</v>
      </c>
      <c r="Y1" s="4">
        <v>69.37</v>
      </c>
      <c r="Z1" s="4">
        <v>48.25</v>
      </c>
      <c r="AA1" s="4">
        <v>96.58</v>
      </c>
      <c r="AB1" s="4">
        <v>87.71</v>
      </c>
      <c r="AC1" s="4">
        <v>75.28</v>
      </c>
      <c r="AD1" s="4">
        <v>64.510000000000005</v>
      </c>
      <c r="AE1" s="4">
        <v>52.21</v>
      </c>
      <c r="AF1" s="4">
        <v>54.95</v>
      </c>
      <c r="AG1" s="4">
        <v>48.16</v>
      </c>
      <c r="AH1" s="4">
        <v>30.79</v>
      </c>
      <c r="AI1" s="4">
        <v>58.97</v>
      </c>
      <c r="AJ1" s="4">
        <v>41.12</v>
      </c>
      <c r="AK1" s="4">
        <v>116.1</v>
      </c>
      <c r="AL1" s="4">
        <v>40.08</v>
      </c>
      <c r="AM1" s="4">
        <v>168.53</v>
      </c>
      <c r="AN1" s="4">
        <v>24.37</v>
      </c>
      <c r="AO1" s="4">
        <v>29.74</v>
      </c>
    </row>
    <row r="2" spans="1:41" s="7" customFormat="1" ht="54">
      <c r="A2" s="6" t="s">
        <v>0</v>
      </c>
      <c r="B2" s="6" t="s">
        <v>1</v>
      </c>
      <c r="C2" s="6" t="s">
        <v>2</v>
      </c>
      <c r="D2" s="6" t="s">
        <v>3</v>
      </c>
      <c r="E2" s="14" t="s">
        <v>4</v>
      </c>
      <c r="F2" s="6" t="s">
        <v>5</v>
      </c>
      <c r="G2" s="6" t="s">
        <v>6</v>
      </c>
      <c r="H2" s="6" t="s">
        <v>7</v>
      </c>
      <c r="I2" s="6" t="s">
        <v>104</v>
      </c>
      <c r="J2" s="6" t="s">
        <v>105</v>
      </c>
      <c r="K2" s="6" t="s">
        <v>106</v>
      </c>
      <c r="L2" s="6" t="s">
        <v>107</v>
      </c>
      <c r="M2" s="6" t="s">
        <v>108</v>
      </c>
      <c r="N2" s="6" t="s">
        <v>109</v>
      </c>
      <c r="O2" s="6" t="s">
        <v>110</v>
      </c>
      <c r="P2" s="6" t="s">
        <v>111</v>
      </c>
      <c r="Q2" s="6" t="s">
        <v>112</v>
      </c>
      <c r="R2" s="6" t="s">
        <v>113</v>
      </c>
      <c r="S2" s="6" t="s">
        <v>114</v>
      </c>
      <c r="T2" s="6" t="s">
        <v>115</v>
      </c>
      <c r="U2" s="6" t="s">
        <v>116</v>
      </c>
      <c r="V2" s="6" t="s">
        <v>117</v>
      </c>
      <c r="W2" s="6" t="s">
        <v>118</v>
      </c>
      <c r="X2" s="6" t="s">
        <v>119</v>
      </c>
      <c r="Y2" s="6" t="s">
        <v>120</v>
      </c>
      <c r="Z2" s="6" t="s">
        <v>121</v>
      </c>
      <c r="AA2" s="6" t="s">
        <v>122</v>
      </c>
      <c r="AB2" s="6" t="s">
        <v>123</v>
      </c>
      <c r="AC2" s="6" t="s">
        <v>124</v>
      </c>
      <c r="AD2" s="6" t="s">
        <v>125</v>
      </c>
      <c r="AE2" s="6" t="s">
        <v>126</v>
      </c>
      <c r="AF2" s="6" t="s">
        <v>127</v>
      </c>
      <c r="AG2" s="6" t="s">
        <v>128</v>
      </c>
      <c r="AH2" s="6" t="s">
        <v>129</v>
      </c>
      <c r="AI2" s="6" t="s">
        <v>130</v>
      </c>
      <c r="AJ2" s="6" t="s">
        <v>131</v>
      </c>
      <c r="AK2" s="6" t="s">
        <v>132</v>
      </c>
      <c r="AL2" s="6" t="s">
        <v>133</v>
      </c>
      <c r="AM2" s="6" t="s">
        <v>134</v>
      </c>
      <c r="AN2" s="6" t="s">
        <v>135</v>
      </c>
      <c r="AO2" s="6" t="s">
        <v>136</v>
      </c>
    </row>
    <row r="3" spans="1:41">
      <c r="A3" s="8">
        <v>1</v>
      </c>
      <c r="B3" s="8">
        <v>87</v>
      </c>
      <c r="C3" s="8" t="s">
        <v>137</v>
      </c>
      <c r="D3" s="8" t="s">
        <v>138</v>
      </c>
      <c r="E3" s="2" t="str">
        <f>"0.00"</f>
        <v>0.00</v>
      </c>
      <c r="F3" s="9"/>
      <c r="G3" s="9">
        <v>2017</v>
      </c>
      <c r="H3" s="10" t="str">
        <f>"30.96"</f>
        <v>30.96</v>
      </c>
      <c r="I3" s="10"/>
      <c r="J3" s="10" t="str">
        <f>"0.00"</f>
        <v>0.00</v>
      </c>
      <c r="K3" s="10"/>
      <c r="L3" s="10" t="str">
        <f>"0.00"</f>
        <v>0.00</v>
      </c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</row>
    <row r="4" spans="1:41">
      <c r="A4" s="8">
        <v>2</v>
      </c>
      <c r="B4" s="8">
        <v>2568</v>
      </c>
      <c r="C4" s="8" t="s">
        <v>139</v>
      </c>
      <c r="D4" s="8" t="s">
        <v>8</v>
      </c>
      <c r="E4" s="2" t="str">
        <f>"8.00"</f>
        <v>8.00</v>
      </c>
      <c r="F4" s="9" t="s">
        <v>9</v>
      </c>
      <c r="G4" s="9">
        <v>2017</v>
      </c>
      <c r="H4" s="10" t="str">
        <f>"65.17"</f>
        <v>65.17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 t="str">
        <f>"0.00"</f>
        <v>0.00</v>
      </c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</row>
    <row r="5" spans="1:41">
      <c r="A5" s="8">
        <v>3</v>
      </c>
      <c r="B5" s="8">
        <v>5105</v>
      </c>
      <c r="C5" s="8" t="s">
        <v>140</v>
      </c>
      <c r="D5" s="8" t="s">
        <v>10</v>
      </c>
      <c r="E5" s="2" t="str">
        <f>"10.50"</f>
        <v>10.50</v>
      </c>
      <c r="F5" s="9"/>
      <c r="G5" s="9">
        <v>2017</v>
      </c>
      <c r="H5" s="10" t="str">
        <f>"32.63"</f>
        <v>32.63</v>
      </c>
      <c r="I5" s="10" t="str">
        <f>"20.99"</f>
        <v>20.99</v>
      </c>
      <c r="J5" s="10"/>
      <c r="K5" s="10" t="str">
        <f>"0.00"</f>
        <v>0.00</v>
      </c>
      <c r="L5" s="10"/>
      <c r="M5" s="10"/>
      <c r="N5" s="10"/>
      <c r="O5" s="10"/>
      <c r="P5" s="10"/>
      <c r="Q5" s="10" t="str">
        <f>"63.82"</f>
        <v>63.82</v>
      </c>
      <c r="R5" s="10" t="str">
        <f>"47.33"</f>
        <v>47.33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 t="str">
        <f>"52.21"</f>
        <v>52.21</v>
      </c>
      <c r="AF5" s="10" t="str">
        <f>"56.28"</f>
        <v>56.28</v>
      </c>
      <c r="AG5" s="10"/>
      <c r="AH5" s="10"/>
      <c r="AI5" s="10"/>
      <c r="AJ5" s="10"/>
      <c r="AK5" s="10"/>
      <c r="AL5" s="10"/>
      <c r="AM5" s="10"/>
      <c r="AN5" s="10" t="str">
        <f>"32.05"</f>
        <v>32.05</v>
      </c>
      <c r="AO5" s="10" t="str">
        <f>"30.01"</f>
        <v>30.01</v>
      </c>
    </row>
    <row r="6" spans="1:41">
      <c r="A6" s="8">
        <v>4</v>
      </c>
      <c r="B6" s="8">
        <v>2443</v>
      </c>
      <c r="C6" s="8" t="s">
        <v>141</v>
      </c>
      <c r="D6" s="8" t="s">
        <v>15</v>
      </c>
      <c r="E6" s="2" t="str">
        <f>"11.52"</f>
        <v>11.52</v>
      </c>
      <c r="F6" s="9" t="s">
        <v>11</v>
      </c>
      <c r="G6" s="9">
        <v>2017</v>
      </c>
      <c r="H6" s="10" t="str">
        <f>"8.00"</f>
        <v>8.00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  <row r="7" spans="1:41">
      <c r="A7" s="8">
        <v>5</v>
      </c>
      <c r="B7" s="8">
        <v>11093</v>
      </c>
      <c r="C7" s="8" t="s">
        <v>142</v>
      </c>
      <c r="D7" s="8" t="s">
        <v>10</v>
      </c>
      <c r="E7" s="2" t="str">
        <f>"17.12"</f>
        <v>17.12</v>
      </c>
      <c r="F7" s="9"/>
      <c r="G7" s="9">
        <v>2017</v>
      </c>
      <c r="H7" s="10"/>
      <c r="I7" s="10"/>
      <c r="J7" s="10"/>
      <c r="K7" s="10" t="str">
        <f>"9.86"</f>
        <v>9.86</v>
      </c>
      <c r="L7" s="10"/>
      <c r="M7" s="10"/>
      <c r="N7" s="10"/>
      <c r="O7" s="10"/>
      <c r="P7" s="10"/>
      <c r="Q7" s="10" t="str">
        <f>"51.96"</f>
        <v>51.96</v>
      </c>
      <c r="R7" s="10" t="str">
        <f>"60.42"</f>
        <v>60.42</v>
      </c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 t="str">
        <f>"56.67"</f>
        <v>56.67</v>
      </c>
      <c r="AF7" s="10" t="str">
        <f>"67.85"</f>
        <v>67.85</v>
      </c>
      <c r="AG7" s="10"/>
      <c r="AH7" s="10"/>
      <c r="AI7" s="10"/>
      <c r="AJ7" s="10"/>
      <c r="AK7" s="10"/>
      <c r="AL7" s="10"/>
      <c r="AM7" s="10"/>
      <c r="AN7" s="10" t="str">
        <f>"24.37"</f>
        <v>24.37</v>
      </c>
      <c r="AO7" s="10" t="str">
        <f>"77.72"</f>
        <v>77.72</v>
      </c>
    </row>
    <row r="8" spans="1:41">
      <c r="A8" s="8">
        <v>6</v>
      </c>
      <c r="B8" s="8">
        <v>7696</v>
      </c>
      <c r="C8" s="8" t="s">
        <v>143</v>
      </c>
      <c r="D8" s="8" t="s">
        <v>10</v>
      </c>
      <c r="E8" s="2" t="str">
        <f>"20.11"</f>
        <v>20.11</v>
      </c>
      <c r="F8" s="9"/>
      <c r="G8" s="9">
        <v>2017</v>
      </c>
      <c r="H8" s="10" t="str">
        <f>"57.62"</f>
        <v>57.62</v>
      </c>
      <c r="I8" s="10" t="str">
        <f>"76.56"</f>
        <v>76.56</v>
      </c>
      <c r="J8" s="10"/>
      <c r="K8" s="10" t="str">
        <f>"8.35"</f>
        <v>8.35</v>
      </c>
      <c r="L8" s="10"/>
      <c r="M8" s="10"/>
      <c r="N8" s="10"/>
      <c r="O8" s="10"/>
      <c r="P8" s="10"/>
      <c r="Q8" s="10" t="str">
        <f>"40.78"</f>
        <v>40.78</v>
      </c>
      <c r="R8" s="10" t="str">
        <f>"44.57"</f>
        <v>44.57</v>
      </c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 t="str">
        <f>"75.34"</f>
        <v>75.34</v>
      </c>
      <c r="AF8" s="10" t="str">
        <f>"61.59"</f>
        <v>61.59</v>
      </c>
      <c r="AG8" s="10"/>
      <c r="AH8" s="10"/>
      <c r="AI8" s="10"/>
      <c r="AJ8" s="10"/>
      <c r="AK8" s="10"/>
      <c r="AL8" s="10"/>
      <c r="AM8" s="10"/>
      <c r="AN8" s="10" t="str">
        <f>"39.85"</f>
        <v>39.85</v>
      </c>
      <c r="AO8" s="10" t="str">
        <f>"31.87"</f>
        <v>31.87</v>
      </c>
    </row>
    <row r="9" spans="1:41">
      <c r="A9" s="8">
        <v>7</v>
      </c>
      <c r="B9" s="8">
        <v>6528</v>
      </c>
      <c r="C9" s="8" t="s">
        <v>144</v>
      </c>
      <c r="D9" s="8" t="s">
        <v>14</v>
      </c>
      <c r="E9" s="2" t="str">
        <f>"21.21"</f>
        <v>21.21</v>
      </c>
      <c r="F9" s="9"/>
      <c r="G9" s="9">
        <v>2017</v>
      </c>
      <c r="H9" s="10" t="str">
        <f>"25.90"</f>
        <v>25.90</v>
      </c>
      <c r="I9" s="10" t="str">
        <f>"54.09"</f>
        <v>54.09</v>
      </c>
      <c r="J9" s="10"/>
      <c r="K9" s="10" t="str">
        <f>"68.31"</f>
        <v>68.31</v>
      </c>
      <c r="L9" s="10"/>
      <c r="M9" s="10"/>
      <c r="N9" s="10"/>
      <c r="O9" s="10"/>
      <c r="P9" s="10"/>
      <c r="Q9" s="10"/>
      <c r="R9" s="10"/>
      <c r="S9" s="10" t="str">
        <f>"11.63"</f>
        <v>11.63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 t="str">
        <f>"53.63"</f>
        <v>53.63</v>
      </c>
      <c r="AH9" s="10" t="str">
        <f>"30.79"</f>
        <v>30.79</v>
      </c>
      <c r="AI9" s="10"/>
      <c r="AJ9" s="10" t="str">
        <f>"41.12"</f>
        <v>41.12</v>
      </c>
      <c r="AK9" s="10"/>
      <c r="AL9" s="10"/>
      <c r="AM9" s="10"/>
      <c r="AN9" s="10"/>
      <c r="AO9" s="10"/>
    </row>
    <row r="10" spans="1:41">
      <c r="A10" s="8">
        <v>8</v>
      </c>
      <c r="B10" s="8">
        <v>1844</v>
      </c>
      <c r="C10" s="8" t="s">
        <v>145</v>
      </c>
      <c r="D10" s="8" t="s">
        <v>38</v>
      </c>
      <c r="E10" s="2" t="str">
        <f>"23.31"</f>
        <v>23.31</v>
      </c>
      <c r="F10" s="9"/>
      <c r="G10" s="9">
        <v>2017</v>
      </c>
      <c r="H10" s="10" t="str">
        <f>"12.93"</f>
        <v>12.93</v>
      </c>
      <c r="I10" s="10" t="str">
        <f>"11.57"</f>
        <v>11.57</v>
      </c>
      <c r="J10" s="10"/>
      <c r="K10" s="10" t="str">
        <f>"35.04"</f>
        <v>35.04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</row>
    <row r="11" spans="1:41">
      <c r="A11" s="8">
        <v>9</v>
      </c>
      <c r="B11" s="8">
        <v>3292</v>
      </c>
      <c r="C11" s="8" t="s">
        <v>146</v>
      </c>
      <c r="D11" s="8" t="s">
        <v>147</v>
      </c>
      <c r="E11" s="2" t="str">
        <f>"26.44"</f>
        <v>26.44</v>
      </c>
      <c r="F11" s="9"/>
      <c r="G11" s="9">
        <v>2017</v>
      </c>
      <c r="H11" s="10" t="str">
        <f>"19.42"</f>
        <v>19.42</v>
      </c>
      <c r="I11" s="10" t="str">
        <f>"29.06"</f>
        <v>29.06</v>
      </c>
      <c r="J11" s="10"/>
      <c r="K11" s="10" t="str">
        <f>"23.82"</f>
        <v>23.82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</row>
    <row r="12" spans="1:41">
      <c r="A12" s="8">
        <v>10</v>
      </c>
      <c r="B12" s="8">
        <v>3984</v>
      </c>
      <c r="C12" s="8" t="s">
        <v>148</v>
      </c>
      <c r="D12" s="8" t="s">
        <v>84</v>
      </c>
      <c r="E12" s="2" t="str">
        <f>"27.07"</f>
        <v>27.07</v>
      </c>
      <c r="F12" s="9"/>
      <c r="G12" s="9">
        <v>2017</v>
      </c>
      <c r="H12" s="10" t="str">
        <f>"28.34"</f>
        <v>28.34</v>
      </c>
      <c r="I12" s="10"/>
      <c r="J12" s="10" t="str">
        <f>"23.25"</f>
        <v>23.25</v>
      </c>
      <c r="K12" s="10"/>
      <c r="L12" s="10" t="str">
        <f>"30.88"</f>
        <v>30.88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</row>
    <row r="13" spans="1:41">
      <c r="A13" s="8">
        <v>11</v>
      </c>
      <c r="B13" s="8">
        <v>7844</v>
      </c>
      <c r="C13" s="8" t="s">
        <v>149</v>
      </c>
      <c r="D13" s="8" t="s">
        <v>19</v>
      </c>
      <c r="E13" s="2" t="str">
        <f>"27.65"</f>
        <v>27.65</v>
      </c>
      <c r="F13" s="9" t="s">
        <v>9</v>
      </c>
      <c r="G13" s="9">
        <v>2017</v>
      </c>
      <c r="H13" s="10" t="str">
        <f>"97.27"</f>
        <v>97.27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 t="str">
        <f>"19.20"</f>
        <v>19.20</v>
      </c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</row>
    <row r="14" spans="1:41">
      <c r="A14" s="8">
        <v>12</v>
      </c>
      <c r="B14" s="8">
        <v>6587</v>
      </c>
      <c r="C14" s="8" t="s">
        <v>150</v>
      </c>
      <c r="D14" s="8" t="s">
        <v>10</v>
      </c>
      <c r="E14" s="2" t="str">
        <f>"28.25"</f>
        <v>28.25</v>
      </c>
      <c r="F14" s="9"/>
      <c r="G14" s="9">
        <v>2017</v>
      </c>
      <c r="H14" s="10" t="str">
        <f>"56.33"</f>
        <v>56.33</v>
      </c>
      <c r="I14" s="10" t="str">
        <f>"34.45"</f>
        <v>34.45</v>
      </c>
      <c r="J14" s="10"/>
      <c r="K14" s="10" t="str">
        <f>"35.32"</f>
        <v>35.32</v>
      </c>
      <c r="L14" s="10"/>
      <c r="M14" s="10"/>
      <c r="N14" s="10"/>
      <c r="O14" s="10"/>
      <c r="P14" s="10"/>
      <c r="Q14" s="10" t="str">
        <f>"53.46"</f>
        <v>53.46</v>
      </c>
      <c r="R14" s="10" t="str">
        <f>"60.51"</f>
        <v>60.51</v>
      </c>
      <c r="S14" s="10"/>
      <c r="T14" s="10"/>
      <c r="U14" s="10"/>
      <c r="V14" s="10" t="str">
        <f>"61.45"</f>
        <v>61.45</v>
      </c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 t="str">
        <f>"26.75"</f>
        <v>26.75</v>
      </c>
      <c r="AO14" s="10" t="str">
        <f>"29.74"</f>
        <v>29.74</v>
      </c>
    </row>
    <row r="15" spans="1:41">
      <c r="A15" s="8">
        <v>13</v>
      </c>
      <c r="B15" s="8">
        <v>1827</v>
      </c>
      <c r="C15" s="8" t="s">
        <v>151</v>
      </c>
      <c r="D15" s="8" t="s">
        <v>14</v>
      </c>
      <c r="E15" s="2" t="str">
        <f>"28.79"</f>
        <v>28.79</v>
      </c>
      <c r="F15" s="9"/>
      <c r="G15" s="9">
        <v>2017</v>
      </c>
      <c r="H15" s="10" t="str">
        <f>"46.33"</f>
        <v>46.33</v>
      </c>
      <c r="I15" s="10" t="str">
        <f>"34.58"</f>
        <v>34.58</v>
      </c>
      <c r="J15" s="10"/>
      <c r="K15" s="10" t="str">
        <f>"23.00"</f>
        <v>23.00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</row>
    <row r="16" spans="1:41">
      <c r="A16" s="8">
        <v>14</v>
      </c>
      <c r="B16" s="8">
        <v>10683</v>
      </c>
      <c r="C16" s="8" t="s">
        <v>152</v>
      </c>
      <c r="D16" s="8" t="s">
        <v>94</v>
      </c>
      <c r="E16" s="2" t="str">
        <f>"33.03"</f>
        <v>33.03</v>
      </c>
      <c r="F16" s="9" t="s">
        <v>11</v>
      </c>
      <c r="G16" s="9">
        <v>2017</v>
      </c>
      <c r="H16" s="10" t="str">
        <f>"22.94"</f>
        <v>22.94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</row>
    <row r="17" spans="1:41">
      <c r="A17" s="8">
        <v>15</v>
      </c>
      <c r="B17" s="8">
        <v>6269</v>
      </c>
      <c r="C17" s="8" t="s">
        <v>153</v>
      </c>
      <c r="D17" s="8" t="s">
        <v>10</v>
      </c>
      <c r="E17" s="2" t="str">
        <f>"33.59"</f>
        <v>33.59</v>
      </c>
      <c r="F17" s="9"/>
      <c r="G17" s="9">
        <v>2017</v>
      </c>
      <c r="H17" s="10" t="str">
        <f>"79.21"</f>
        <v>79.21</v>
      </c>
      <c r="I17" s="10" t="str">
        <f>"47.37"</f>
        <v>47.37</v>
      </c>
      <c r="J17" s="10"/>
      <c r="K17" s="10" t="str">
        <f>"35.18"</f>
        <v>35.18</v>
      </c>
      <c r="L17" s="10"/>
      <c r="M17" s="10"/>
      <c r="N17" s="10"/>
      <c r="O17" s="10"/>
      <c r="P17" s="10"/>
      <c r="Q17" s="10"/>
      <c r="R17" s="10" t="str">
        <f>"71.66"</f>
        <v>71.66</v>
      </c>
      <c r="S17" s="10"/>
      <c r="T17" s="10"/>
      <c r="U17" s="10"/>
      <c r="V17" s="10" t="str">
        <f>"54.32"</f>
        <v>54.32</v>
      </c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 t="str">
        <f>"39.46"</f>
        <v>39.46</v>
      </c>
      <c r="AO17" s="10" t="str">
        <f>"32.00"</f>
        <v>32.00</v>
      </c>
    </row>
    <row r="18" spans="1:41">
      <c r="A18" s="8">
        <v>16</v>
      </c>
      <c r="B18" s="8">
        <v>5498</v>
      </c>
      <c r="C18" s="8" t="s">
        <v>154</v>
      </c>
      <c r="D18" s="8" t="s">
        <v>10</v>
      </c>
      <c r="E18" s="2" t="str">
        <f>"33.90"</f>
        <v>33.90</v>
      </c>
      <c r="F18" s="9"/>
      <c r="G18" s="9">
        <v>2017</v>
      </c>
      <c r="H18" s="10" t="str">
        <f>"60.90"</f>
        <v>60.90</v>
      </c>
      <c r="I18" s="10" t="str">
        <f>"59.34"</f>
        <v>59.34</v>
      </c>
      <c r="J18" s="10"/>
      <c r="K18" s="10" t="str">
        <f>"38.06"</f>
        <v>38.06</v>
      </c>
      <c r="L18" s="10"/>
      <c r="M18" s="10"/>
      <c r="N18" s="10"/>
      <c r="O18" s="10"/>
      <c r="P18" s="10"/>
      <c r="Q18" s="10"/>
      <c r="R18" s="10" t="str">
        <f>"62.08"</f>
        <v>62.08</v>
      </c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 t="str">
        <f>"29.74"</f>
        <v>29.74</v>
      </c>
    </row>
    <row r="19" spans="1:41">
      <c r="A19" s="8">
        <v>17</v>
      </c>
      <c r="B19" s="8">
        <v>8401</v>
      </c>
      <c r="C19" s="8" t="s">
        <v>155</v>
      </c>
      <c r="D19" s="8" t="s">
        <v>8</v>
      </c>
      <c r="E19" s="2" t="str">
        <f>"38.24"</f>
        <v>38.24</v>
      </c>
      <c r="F19" s="9"/>
      <c r="G19" s="9">
        <v>2017</v>
      </c>
      <c r="H19" s="10" t="str">
        <f>"5.28"</f>
        <v>5.28</v>
      </c>
      <c r="I19" s="10"/>
      <c r="J19" s="10" t="str">
        <f>"43.91"</f>
        <v>43.91</v>
      </c>
      <c r="K19" s="10"/>
      <c r="L19" s="10" t="str">
        <f>"36.39"</f>
        <v>36.39</v>
      </c>
      <c r="M19" s="10"/>
      <c r="N19" s="10"/>
      <c r="O19" s="10"/>
      <c r="P19" s="10"/>
      <c r="Q19" s="10"/>
      <c r="R19" s="10"/>
      <c r="S19" s="10" t="str">
        <f>"40.09"</f>
        <v>40.09</v>
      </c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</row>
    <row r="20" spans="1:41">
      <c r="A20" s="8">
        <v>18</v>
      </c>
      <c r="B20" s="8">
        <v>10238</v>
      </c>
      <c r="C20" s="8" t="s">
        <v>156</v>
      </c>
      <c r="D20" s="8" t="s">
        <v>60</v>
      </c>
      <c r="E20" s="2" t="str">
        <f>"38.84"</f>
        <v>38.84</v>
      </c>
      <c r="F20" s="9" t="s">
        <v>11</v>
      </c>
      <c r="G20" s="9">
        <v>2017</v>
      </c>
      <c r="H20" s="10" t="str">
        <f>"26.97"</f>
        <v>26.97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</row>
    <row r="21" spans="1:41">
      <c r="A21" s="8">
        <v>19</v>
      </c>
      <c r="B21" s="8">
        <v>3630</v>
      </c>
      <c r="C21" s="8" t="s">
        <v>157</v>
      </c>
      <c r="D21" s="8" t="s">
        <v>14</v>
      </c>
      <c r="E21" s="2" t="str">
        <f>"38.95"</f>
        <v>38.95</v>
      </c>
      <c r="F21" s="9" t="s">
        <v>9</v>
      </c>
      <c r="G21" s="9">
        <v>2017</v>
      </c>
      <c r="H21" s="10" t="str">
        <f>"98.40"</f>
        <v>98.40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 t="str">
        <f>"27.05"</f>
        <v>27.05</v>
      </c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</row>
    <row r="22" spans="1:41">
      <c r="A22" s="8">
        <v>20</v>
      </c>
      <c r="B22" s="8">
        <v>10674</v>
      </c>
      <c r="C22" s="8" t="s">
        <v>158</v>
      </c>
      <c r="D22" s="8" t="s">
        <v>159</v>
      </c>
      <c r="E22" s="2" t="str">
        <f>"41.06"</f>
        <v>41.06</v>
      </c>
      <c r="F22" s="9"/>
      <c r="G22" s="9">
        <v>2017</v>
      </c>
      <c r="H22" s="10" t="str">
        <f>"91.66"</f>
        <v>91.66</v>
      </c>
      <c r="I22" s="10" t="str">
        <f>"48.31"</f>
        <v>48.31</v>
      </c>
      <c r="J22" s="10"/>
      <c r="K22" s="10" t="str">
        <f>"33.81"</f>
        <v>33.81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</row>
    <row r="23" spans="1:41">
      <c r="A23" s="8">
        <v>21</v>
      </c>
      <c r="B23" s="8">
        <v>1595</v>
      </c>
      <c r="C23" s="8" t="s">
        <v>160</v>
      </c>
      <c r="D23" s="8" t="s">
        <v>60</v>
      </c>
      <c r="E23" s="2" t="str">
        <f>"41.33"</f>
        <v>41.33</v>
      </c>
      <c r="F23" s="9"/>
      <c r="G23" s="9">
        <v>2017</v>
      </c>
      <c r="H23" s="10" t="str">
        <f>"0.00"</f>
        <v>0.00</v>
      </c>
      <c r="I23" s="10"/>
      <c r="J23" s="10" t="str">
        <f>"32.29"</f>
        <v>32.29</v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 t="str">
        <f>"50.37"</f>
        <v>50.37</v>
      </c>
      <c r="AK23" s="10"/>
      <c r="AL23" s="10"/>
      <c r="AM23" s="10"/>
      <c r="AN23" s="10"/>
      <c r="AO23" s="10"/>
    </row>
    <row r="24" spans="1:41">
      <c r="A24" s="8">
        <v>22</v>
      </c>
      <c r="B24" s="8">
        <v>4023</v>
      </c>
      <c r="C24" s="8" t="s">
        <v>161</v>
      </c>
      <c r="D24" s="8" t="s">
        <v>10</v>
      </c>
      <c r="E24" s="2" t="str">
        <f>"41.87"</f>
        <v>41.87</v>
      </c>
      <c r="F24" s="9"/>
      <c r="G24" s="9">
        <v>2017</v>
      </c>
      <c r="H24" s="10" t="str">
        <f>"49.25"</f>
        <v>49.25</v>
      </c>
      <c r="I24" s="10" t="str">
        <f>"52.88"</f>
        <v>52.88</v>
      </c>
      <c r="J24" s="10"/>
      <c r="K24" s="10" t="str">
        <f>"35.73"</f>
        <v>35.73</v>
      </c>
      <c r="L24" s="10"/>
      <c r="M24" s="10"/>
      <c r="N24" s="10"/>
      <c r="O24" s="10"/>
      <c r="P24" s="10"/>
      <c r="Q24" s="10" t="str">
        <f>"48.01"</f>
        <v>48.01</v>
      </c>
      <c r="R24" s="10" t="str">
        <f>"70.28"</f>
        <v>70.28</v>
      </c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</row>
    <row r="25" spans="1:41">
      <c r="A25" s="8">
        <v>23</v>
      </c>
      <c r="B25" s="8">
        <v>6296</v>
      </c>
      <c r="C25" s="8" t="s">
        <v>162</v>
      </c>
      <c r="D25" s="8" t="s">
        <v>10</v>
      </c>
      <c r="E25" s="2" t="str">
        <f>"42.06"</f>
        <v>42.06</v>
      </c>
      <c r="F25" s="9"/>
      <c r="G25" s="9">
        <v>2017</v>
      </c>
      <c r="H25" s="10" t="str">
        <f>"82.37"</f>
        <v>82.37</v>
      </c>
      <c r="I25" s="10" t="str">
        <f>"71.99"</f>
        <v>71.99</v>
      </c>
      <c r="J25" s="10"/>
      <c r="K25" s="10" t="str">
        <f>"41.48"</f>
        <v>41.48</v>
      </c>
      <c r="L25" s="10"/>
      <c r="M25" s="10"/>
      <c r="N25" s="10"/>
      <c r="O25" s="10"/>
      <c r="P25" s="10"/>
      <c r="Q25" s="10"/>
      <c r="R25" s="10" t="str">
        <f>"90.74"</f>
        <v>90.74</v>
      </c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 t="str">
        <f>"64.95"</f>
        <v>64.95</v>
      </c>
      <c r="AE25" s="10" t="str">
        <f>"74.73"</f>
        <v>74.73</v>
      </c>
      <c r="AF25" s="10" t="str">
        <f>"54.95"</f>
        <v>54.95</v>
      </c>
      <c r="AG25" s="10"/>
      <c r="AH25" s="10"/>
      <c r="AI25" s="10"/>
      <c r="AJ25" s="10"/>
      <c r="AK25" s="10"/>
      <c r="AL25" s="10" t="str">
        <f>"54.33"</f>
        <v>54.33</v>
      </c>
      <c r="AM25" s="10"/>
      <c r="AN25" s="10"/>
      <c r="AO25" s="10" t="str">
        <f>"42.63"</f>
        <v>42.63</v>
      </c>
    </row>
    <row r="26" spans="1:41">
      <c r="A26" s="8">
        <v>24</v>
      </c>
      <c r="B26" s="8">
        <v>4948</v>
      </c>
      <c r="C26" s="8" t="s">
        <v>163</v>
      </c>
      <c r="D26" s="8" t="s">
        <v>164</v>
      </c>
      <c r="E26" s="2" t="str">
        <f>"42.46"</f>
        <v>42.46</v>
      </c>
      <c r="F26" s="9"/>
      <c r="G26" s="9">
        <v>2017</v>
      </c>
      <c r="H26" s="10" t="str">
        <f>"18.09"</f>
        <v>18.09</v>
      </c>
      <c r="I26" s="10" t="str">
        <f>"44.94"</f>
        <v>44.94</v>
      </c>
      <c r="J26" s="10"/>
      <c r="K26" s="10" t="str">
        <f>"39.97"</f>
        <v>39.97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</row>
    <row r="27" spans="1:41">
      <c r="A27" s="8">
        <v>25</v>
      </c>
      <c r="B27" s="8">
        <v>4021</v>
      </c>
      <c r="C27" s="8" t="s">
        <v>165</v>
      </c>
      <c r="D27" s="8" t="s">
        <v>14</v>
      </c>
      <c r="E27" s="2" t="str">
        <f>"42.75"</f>
        <v>42.75</v>
      </c>
      <c r="F27" s="9"/>
      <c r="G27" s="9">
        <v>2017</v>
      </c>
      <c r="H27" s="10" t="str">
        <f>"0.00"</f>
        <v>0.00</v>
      </c>
      <c r="I27" s="10" t="str">
        <f>"59.34"</f>
        <v>59.34</v>
      </c>
      <c r="J27" s="10"/>
      <c r="K27" s="10" t="str">
        <f>"26.15"</f>
        <v>26.15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</row>
    <row r="28" spans="1:41">
      <c r="A28" s="8">
        <v>26</v>
      </c>
      <c r="B28" s="8">
        <v>3623</v>
      </c>
      <c r="C28" s="8" t="s">
        <v>166</v>
      </c>
      <c r="D28" s="8" t="s">
        <v>35</v>
      </c>
      <c r="E28" s="2" t="str">
        <f>"43.20"</f>
        <v>43.20</v>
      </c>
      <c r="F28" s="9"/>
      <c r="G28" s="9">
        <v>2017</v>
      </c>
      <c r="H28" s="10" t="str">
        <f>"118.43"</f>
        <v>118.43</v>
      </c>
      <c r="I28" s="10" t="str">
        <f>"81.81"</f>
        <v>81.81</v>
      </c>
      <c r="J28" s="10"/>
      <c r="K28" s="10" t="str">
        <f>"80.77"</f>
        <v>80.77</v>
      </c>
      <c r="L28" s="10"/>
      <c r="M28" s="10"/>
      <c r="N28" s="10"/>
      <c r="O28" s="10"/>
      <c r="P28" s="10"/>
      <c r="Q28" s="10"/>
      <c r="R28" s="10"/>
      <c r="S28" s="10" t="str">
        <f>"30.00"</f>
        <v>30.00</v>
      </c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 t="str">
        <f>"56.39"</f>
        <v>56.39</v>
      </c>
      <c r="AM28" s="10"/>
      <c r="AN28" s="10"/>
      <c r="AO28" s="10"/>
    </row>
    <row r="29" spans="1:41">
      <c r="A29" s="8">
        <v>27</v>
      </c>
      <c r="B29" s="8">
        <v>10682</v>
      </c>
      <c r="C29" s="8" t="s">
        <v>167</v>
      </c>
      <c r="D29" s="8" t="s">
        <v>33</v>
      </c>
      <c r="E29" s="2" t="str">
        <f>"47.52"</f>
        <v>47.52</v>
      </c>
      <c r="F29" s="9"/>
      <c r="G29" s="9">
        <v>2017</v>
      </c>
      <c r="H29" s="10" t="str">
        <f>"98.78"</f>
        <v>98.78</v>
      </c>
      <c r="I29" s="10" t="str">
        <f>"78.04"</f>
        <v>78.04</v>
      </c>
      <c r="J29" s="10"/>
      <c r="K29" s="10" t="str">
        <f>"64.34"</f>
        <v>64.34</v>
      </c>
      <c r="L29" s="10"/>
      <c r="M29" s="10"/>
      <c r="N29" s="10"/>
      <c r="O29" s="10"/>
      <c r="P29" s="10"/>
      <c r="Q29" s="10"/>
      <c r="R29" s="10"/>
      <c r="S29" s="10" t="str">
        <f>"30.70"</f>
        <v>30.70</v>
      </c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</row>
    <row r="30" spans="1:41">
      <c r="A30" s="8">
        <v>28</v>
      </c>
      <c r="B30" s="8">
        <v>2615</v>
      </c>
      <c r="C30" s="8" t="s">
        <v>168</v>
      </c>
      <c r="D30" s="8" t="s">
        <v>71</v>
      </c>
      <c r="E30" s="2" t="str">
        <f>"47.65"</f>
        <v>47.65</v>
      </c>
      <c r="F30" s="9"/>
      <c r="G30" s="9">
        <v>2017</v>
      </c>
      <c r="H30" s="10" t="str">
        <f>"58.81"</f>
        <v>58.81</v>
      </c>
      <c r="I30" s="10" t="str">
        <f>"67.95"</f>
        <v>67.95</v>
      </c>
      <c r="J30" s="10"/>
      <c r="K30" s="10" t="str">
        <f>"71.05"</f>
        <v>71.05</v>
      </c>
      <c r="L30" s="10"/>
      <c r="M30" s="10"/>
      <c r="N30" s="10"/>
      <c r="O30" s="10"/>
      <c r="P30" s="10"/>
      <c r="Q30" s="10"/>
      <c r="R30" s="10"/>
      <c r="S30" s="10" t="str">
        <f>"27.34"</f>
        <v>27.34</v>
      </c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</row>
    <row r="31" spans="1:41">
      <c r="A31" s="8">
        <v>29</v>
      </c>
      <c r="B31" s="8">
        <v>2154</v>
      </c>
      <c r="C31" s="8" t="s">
        <v>169</v>
      </c>
      <c r="D31" s="8" t="s">
        <v>10</v>
      </c>
      <c r="E31" s="2" t="str">
        <f>"48.15"</f>
        <v>48.15</v>
      </c>
      <c r="F31" s="9"/>
      <c r="G31" s="9">
        <v>2017</v>
      </c>
      <c r="H31" s="10" t="str">
        <f>"104.20"</f>
        <v>104.20</v>
      </c>
      <c r="I31" s="10" t="str">
        <f>"66.74"</f>
        <v>66.74</v>
      </c>
      <c r="J31" s="10"/>
      <c r="K31" s="10" t="str">
        <f>"35.87"</f>
        <v>35.87</v>
      </c>
      <c r="L31" s="10"/>
      <c r="M31" s="10"/>
      <c r="N31" s="10"/>
      <c r="O31" s="10"/>
      <c r="P31" s="10"/>
      <c r="Q31" s="10"/>
      <c r="R31" s="10" t="str">
        <f>"60.42"</f>
        <v>60.42</v>
      </c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 t="str">
        <f>"64.51"</f>
        <v>64.51</v>
      </c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</row>
    <row r="32" spans="1:41">
      <c r="A32" s="8">
        <v>30</v>
      </c>
      <c r="B32" s="8">
        <v>3469</v>
      </c>
      <c r="C32" s="8" t="s">
        <v>170</v>
      </c>
      <c r="D32" s="8" t="s">
        <v>102</v>
      </c>
      <c r="E32" s="2" t="str">
        <f>"48.32"</f>
        <v>48.32</v>
      </c>
      <c r="F32" s="9"/>
      <c r="G32" s="9">
        <v>2017</v>
      </c>
      <c r="H32" s="10" t="str">
        <f>"17.44"</f>
        <v>17.44</v>
      </c>
      <c r="I32" s="10"/>
      <c r="J32" s="10" t="str">
        <f>"54.37"</f>
        <v>54.37</v>
      </c>
      <c r="K32" s="10"/>
      <c r="L32" s="10" t="str">
        <f>"48.39"</f>
        <v>48.39</v>
      </c>
      <c r="M32" s="10"/>
      <c r="N32" s="10"/>
      <c r="O32" s="10"/>
      <c r="P32" s="10"/>
      <c r="Q32" s="10"/>
      <c r="R32" s="10"/>
      <c r="S32" s="10"/>
      <c r="T32" s="10" t="str">
        <f>"54.09"</f>
        <v>54.09</v>
      </c>
      <c r="U32" s="10"/>
      <c r="V32" s="10"/>
      <c r="W32" s="10"/>
      <c r="X32" s="10"/>
      <c r="Y32" s="10"/>
      <c r="Z32" s="10" t="str">
        <f>"48.25"</f>
        <v>48.25</v>
      </c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</row>
    <row r="33" spans="1:41">
      <c r="A33" s="8">
        <v>31</v>
      </c>
      <c r="B33" s="8">
        <v>7820</v>
      </c>
      <c r="C33" s="8" t="s">
        <v>171</v>
      </c>
      <c r="D33" s="8" t="s">
        <v>14</v>
      </c>
      <c r="E33" s="2" t="str">
        <f>"48.93"</f>
        <v>48.93</v>
      </c>
      <c r="F33" s="9" t="s">
        <v>11</v>
      </c>
      <c r="G33" s="9">
        <v>2017</v>
      </c>
      <c r="H33" s="10" t="str">
        <f>"33.98"</f>
        <v>33.98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</row>
    <row r="34" spans="1:41">
      <c r="A34" s="8">
        <v>32</v>
      </c>
      <c r="B34" s="8">
        <v>5421</v>
      </c>
      <c r="C34" s="8" t="s">
        <v>172</v>
      </c>
      <c r="D34" s="8" t="s">
        <v>10</v>
      </c>
      <c r="E34" s="2" t="str">
        <f>"49.69"</f>
        <v>49.69</v>
      </c>
      <c r="F34" s="9"/>
      <c r="G34" s="9">
        <v>2017</v>
      </c>
      <c r="H34" s="10" t="str">
        <f>"84.70"</f>
        <v>84.70</v>
      </c>
      <c r="I34" s="10" t="str">
        <f>"53.15"</f>
        <v>53.15</v>
      </c>
      <c r="J34" s="10"/>
      <c r="K34" s="10" t="str">
        <f>"54.21"</f>
        <v>54.21</v>
      </c>
      <c r="L34" s="10"/>
      <c r="M34" s="10"/>
      <c r="N34" s="10"/>
      <c r="O34" s="10"/>
      <c r="P34" s="10"/>
      <c r="Q34" s="10"/>
      <c r="R34" s="10" t="str">
        <f>"99.12"</f>
        <v>99.12</v>
      </c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 t="str">
        <f>"87.77"</f>
        <v>87.77</v>
      </c>
      <c r="AG34" s="10"/>
      <c r="AH34" s="10"/>
      <c r="AI34" s="10"/>
      <c r="AJ34" s="10"/>
      <c r="AK34" s="10"/>
      <c r="AL34" s="10"/>
      <c r="AM34" s="10"/>
      <c r="AN34" s="10"/>
      <c r="AO34" s="10" t="str">
        <f>"46.22"</f>
        <v>46.22</v>
      </c>
    </row>
    <row r="35" spans="1:41">
      <c r="A35" s="8">
        <v>33</v>
      </c>
      <c r="B35" s="8">
        <v>6861</v>
      </c>
      <c r="C35" s="8" t="s">
        <v>173</v>
      </c>
      <c r="D35" s="8" t="s">
        <v>19</v>
      </c>
      <c r="E35" s="2" t="str">
        <f>"49.80"</f>
        <v>49.80</v>
      </c>
      <c r="F35" s="9"/>
      <c r="G35" s="9">
        <v>2017</v>
      </c>
      <c r="H35" s="10" t="str">
        <f>"82.02"</f>
        <v>82.02</v>
      </c>
      <c r="I35" s="10" t="str">
        <f>"72.39"</f>
        <v>72.39</v>
      </c>
      <c r="J35" s="10"/>
      <c r="K35" s="10" t="str">
        <f>"77.75"</f>
        <v>77.75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 t="str">
        <f>"65.34"</f>
        <v>65.34</v>
      </c>
      <c r="W35" s="10"/>
      <c r="X35" s="10"/>
      <c r="Y35" s="10"/>
      <c r="Z35" s="10"/>
      <c r="AA35" s="10"/>
      <c r="AB35" s="10" t="str">
        <f>"100.15"</f>
        <v>100.15</v>
      </c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 t="str">
        <f>"34.26"</f>
        <v>34.26</v>
      </c>
    </row>
    <row r="36" spans="1:41">
      <c r="A36" s="8">
        <v>34</v>
      </c>
      <c r="B36" s="8">
        <v>4158</v>
      </c>
      <c r="C36" s="8" t="s">
        <v>174</v>
      </c>
      <c r="D36" s="8" t="s">
        <v>75</v>
      </c>
      <c r="E36" s="2" t="str">
        <f>"49.99"</f>
        <v>49.99</v>
      </c>
      <c r="F36" s="9"/>
      <c r="G36" s="9">
        <v>2017</v>
      </c>
      <c r="H36" s="10" t="str">
        <f>"46.22"</f>
        <v>46.22</v>
      </c>
      <c r="I36" s="10"/>
      <c r="J36" s="10" t="str">
        <f>"60.83"</f>
        <v>60.83</v>
      </c>
      <c r="K36" s="10"/>
      <c r="L36" s="10" t="str">
        <f>"39.15"</f>
        <v>39.15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</row>
    <row r="37" spans="1:41">
      <c r="A37" s="8">
        <v>35</v>
      </c>
      <c r="B37" s="8">
        <v>6680</v>
      </c>
      <c r="C37" s="8" t="s">
        <v>175</v>
      </c>
      <c r="D37" s="8" t="s">
        <v>10</v>
      </c>
      <c r="E37" s="2" t="str">
        <f>"50.66"</f>
        <v>50.66</v>
      </c>
      <c r="F37" s="9"/>
      <c r="G37" s="9">
        <v>2017</v>
      </c>
      <c r="H37" s="10" t="str">
        <f>"83.13"</f>
        <v>83.13</v>
      </c>
      <c r="I37" s="10" t="str">
        <f>"74.28"</f>
        <v>74.28</v>
      </c>
      <c r="J37" s="10"/>
      <c r="K37" s="10" t="str">
        <f>"52.16"</f>
        <v>52.16</v>
      </c>
      <c r="L37" s="10"/>
      <c r="M37" s="10"/>
      <c r="N37" s="10"/>
      <c r="O37" s="10"/>
      <c r="P37" s="10"/>
      <c r="Q37" s="10"/>
      <c r="R37" s="10" t="str">
        <f>"89.17"</f>
        <v>89.17</v>
      </c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 t="str">
        <f>"100.80"</f>
        <v>100.80</v>
      </c>
      <c r="AF37" s="10" t="str">
        <f>"80.19"</f>
        <v>80.19</v>
      </c>
      <c r="AG37" s="10"/>
      <c r="AH37" s="10"/>
      <c r="AI37" s="10" t="str">
        <f>"63.17"</f>
        <v>63.17</v>
      </c>
      <c r="AJ37" s="10" t="str">
        <f>"69.00"</f>
        <v>69.00</v>
      </c>
      <c r="AK37" s="10"/>
      <c r="AL37" s="10"/>
      <c r="AM37" s="10"/>
      <c r="AN37" s="10"/>
      <c r="AO37" s="10" t="str">
        <f>"49.15"</f>
        <v>49.15</v>
      </c>
    </row>
    <row r="38" spans="1:41">
      <c r="A38" s="8">
        <v>36</v>
      </c>
      <c r="B38" s="8">
        <v>8308</v>
      </c>
      <c r="C38" s="8" t="s">
        <v>176</v>
      </c>
      <c r="D38" s="8" t="s">
        <v>10</v>
      </c>
      <c r="E38" s="2" t="str">
        <f>"52.30"</f>
        <v>52.30</v>
      </c>
      <c r="F38" s="9"/>
      <c r="G38" s="9">
        <v>2017</v>
      </c>
      <c r="H38" s="10" t="str">
        <f>"55.05"</f>
        <v>55.05</v>
      </c>
      <c r="I38" s="10" t="str">
        <f>"87.46"</f>
        <v>87.46</v>
      </c>
      <c r="J38" s="10"/>
      <c r="K38" s="10" t="str">
        <f>"55.44"</f>
        <v>55.44</v>
      </c>
      <c r="L38" s="10"/>
      <c r="M38" s="10"/>
      <c r="N38" s="10"/>
      <c r="O38" s="10"/>
      <c r="P38" s="10"/>
      <c r="Q38" s="10" t="str">
        <f>"91.78"</f>
        <v>91.78</v>
      </c>
      <c r="R38" s="10" t="str">
        <f>"95.16"</f>
        <v>95.16</v>
      </c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 t="str">
        <f>"49.15"</f>
        <v>49.15</v>
      </c>
    </row>
    <row r="39" spans="1:41">
      <c r="A39" s="8">
        <v>37</v>
      </c>
      <c r="B39" s="8">
        <v>6289</v>
      </c>
      <c r="C39" s="8" t="s">
        <v>177</v>
      </c>
      <c r="D39" s="8" t="s">
        <v>65</v>
      </c>
      <c r="E39" s="2" t="str">
        <f>"54.68"</f>
        <v>54.68</v>
      </c>
      <c r="F39" s="9"/>
      <c r="G39" s="9">
        <v>2017</v>
      </c>
      <c r="H39" s="10" t="str">
        <f>"72.49"</f>
        <v>72.49</v>
      </c>
      <c r="I39" s="10"/>
      <c r="J39" s="10" t="str">
        <f>"82.01"</f>
        <v>82.01</v>
      </c>
      <c r="K39" s="10"/>
      <c r="L39" s="10" t="str">
        <f>"72.10"</f>
        <v>72.10</v>
      </c>
      <c r="M39" s="10"/>
      <c r="N39" s="10"/>
      <c r="O39" s="10"/>
      <c r="P39" s="10"/>
      <c r="Q39" s="10"/>
      <c r="R39" s="10"/>
      <c r="S39" s="10" t="str">
        <f>"63.92"</f>
        <v>63.92</v>
      </c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 t="str">
        <f>"72.17"</f>
        <v>72.17</v>
      </c>
      <c r="AH39" s="10"/>
      <c r="AI39" s="10" t="str">
        <f>"83.47"</f>
        <v>83.47</v>
      </c>
      <c r="AJ39" s="10" t="str">
        <f>"45.44"</f>
        <v>45.44</v>
      </c>
      <c r="AK39" s="10"/>
      <c r="AL39" s="10" t="str">
        <f>"84.14"</f>
        <v>84.14</v>
      </c>
      <c r="AM39" s="10"/>
      <c r="AN39" s="10"/>
      <c r="AO39" s="10"/>
    </row>
    <row r="40" spans="1:41">
      <c r="A40" s="8">
        <v>38</v>
      </c>
      <c r="B40" s="8">
        <v>4168</v>
      </c>
      <c r="C40" s="8" t="s">
        <v>178</v>
      </c>
      <c r="D40" s="8" t="s">
        <v>10</v>
      </c>
      <c r="E40" s="2" t="str">
        <f>"55.18"</f>
        <v>55.18</v>
      </c>
      <c r="F40" s="9"/>
      <c r="G40" s="9">
        <v>2017</v>
      </c>
      <c r="H40" s="10" t="str">
        <f>"58.27"</f>
        <v>58.27</v>
      </c>
      <c r="I40" s="10"/>
      <c r="J40" s="10"/>
      <c r="K40" s="10" t="str">
        <f>"54.48"</f>
        <v>54.48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 t="str">
        <f>"63.88"</f>
        <v>63.88</v>
      </c>
      <c r="AF40" s="10" t="str">
        <f>"100.30"</f>
        <v>100.30</v>
      </c>
      <c r="AG40" s="10" t="str">
        <f>"55.87"</f>
        <v>55.87</v>
      </c>
      <c r="AH40" s="10"/>
      <c r="AI40" s="10"/>
      <c r="AJ40" s="10"/>
      <c r="AK40" s="10"/>
      <c r="AL40" s="10"/>
      <c r="AM40" s="10"/>
      <c r="AN40" s="10"/>
      <c r="AO40" s="10"/>
    </row>
    <row r="41" spans="1:41">
      <c r="A41" s="8">
        <v>39</v>
      </c>
      <c r="B41" s="8">
        <v>6555</v>
      </c>
      <c r="C41" s="8" t="s">
        <v>179</v>
      </c>
      <c r="D41" s="8" t="s">
        <v>180</v>
      </c>
      <c r="E41" s="2" t="str">
        <f>"56.60"</f>
        <v>56.60</v>
      </c>
      <c r="F41" s="9"/>
      <c r="G41" s="9">
        <v>2017</v>
      </c>
      <c r="H41" s="10" t="str">
        <f>"31.91"</f>
        <v>31.91</v>
      </c>
      <c r="I41" s="10"/>
      <c r="J41" s="10" t="str">
        <f>"59.15"</f>
        <v>59.15</v>
      </c>
      <c r="K41" s="10"/>
      <c r="L41" s="10" t="str">
        <f>"54.04"</f>
        <v>54.04</v>
      </c>
      <c r="M41" s="10"/>
      <c r="N41" s="10"/>
      <c r="O41" s="10"/>
      <c r="P41" s="10"/>
      <c r="Q41" s="10"/>
      <c r="R41" s="10"/>
      <c r="S41" s="10" t="str">
        <f>"75.84"</f>
        <v>75.84</v>
      </c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</row>
    <row r="42" spans="1:41">
      <c r="A42" s="8">
        <v>40</v>
      </c>
      <c r="B42" s="8">
        <v>9114</v>
      </c>
      <c r="C42" s="8" t="s">
        <v>181</v>
      </c>
      <c r="D42" s="8" t="s">
        <v>34</v>
      </c>
      <c r="E42" s="2" t="str">
        <f>"57.54"</f>
        <v>57.54</v>
      </c>
      <c r="F42" s="9"/>
      <c r="G42" s="9">
        <v>2017</v>
      </c>
      <c r="H42" s="10" t="str">
        <f>"90.29"</f>
        <v>90.29</v>
      </c>
      <c r="I42" s="10" t="str">
        <f>"64.86"</f>
        <v>64.86</v>
      </c>
      <c r="J42" s="10"/>
      <c r="K42" s="10" t="str">
        <f>"70.09"</f>
        <v>70.09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 t="str">
        <f>"50.21"</f>
        <v>50.21</v>
      </c>
      <c r="AH42" s="10" t="str">
        <f>"72.42"</f>
        <v>72.42</v>
      </c>
      <c r="AI42" s="10"/>
      <c r="AJ42" s="10"/>
      <c r="AK42" s="10"/>
      <c r="AL42" s="10"/>
      <c r="AM42" s="10"/>
      <c r="AN42" s="10"/>
      <c r="AO42" s="10"/>
    </row>
    <row r="43" spans="1:41">
      <c r="A43" s="8">
        <v>41</v>
      </c>
      <c r="B43" s="8">
        <v>542</v>
      </c>
      <c r="C43" s="8" t="s">
        <v>182</v>
      </c>
      <c r="D43" s="8" t="s">
        <v>183</v>
      </c>
      <c r="E43" s="2" t="str">
        <f>"57.67"</f>
        <v>57.67</v>
      </c>
      <c r="F43" s="9"/>
      <c r="G43" s="9">
        <v>2017</v>
      </c>
      <c r="H43" s="10" t="str">
        <f>"22.14"</f>
        <v>22.14</v>
      </c>
      <c r="I43" s="10"/>
      <c r="J43" s="10" t="str">
        <f>"53.86"</f>
        <v>53.86</v>
      </c>
      <c r="K43" s="10"/>
      <c r="L43" s="10" t="str">
        <f>"61.48"</f>
        <v>61.48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</row>
    <row r="44" spans="1:41">
      <c r="A44" s="8">
        <v>42</v>
      </c>
      <c r="B44" s="8">
        <v>3162</v>
      </c>
      <c r="C44" s="8" t="s">
        <v>184</v>
      </c>
      <c r="D44" s="8" t="s">
        <v>14</v>
      </c>
      <c r="E44" s="2" t="str">
        <f>"59.00"</f>
        <v>59.00</v>
      </c>
      <c r="F44" s="9"/>
      <c r="G44" s="9">
        <v>2017</v>
      </c>
      <c r="H44" s="10" t="str">
        <f>"40.43"</f>
        <v>40.43</v>
      </c>
      <c r="I44" s="10" t="str">
        <f>"77.91"</f>
        <v>77.91</v>
      </c>
      <c r="J44" s="10"/>
      <c r="K44" s="10" t="str">
        <f>"78.58"</f>
        <v>78.58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 t="str">
        <f>"40.08"</f>
        <v>40.08</v>
      </c>
      <c r="AM44" s="10"/>
      <c r="AN44" s="10"/>
      <c r="AO44" s="10"/>
    </row>
    <row r="45" spans="1:41">
      <c r="A45" s="8">
        <v>43</v>
      </c>
      <c r="B45" s="8">
        <v>7891</v>
      </c>
      <c r="C45" s="8" t="s">
        <v>185</v>
      </c>
      <c r="D45" s="8" t="s">
        <v>186</v>
      </c>
      <c r="E45" s="2" t="str">
        <f>"60.29"</f>
        <v>60.29</v>
      </c>
      <c r="F45" s="9"/>
      <c r="G45" s="9">
        <v>2017</v>
      </c>
      <c r="H45" s="10" t="str">
        <f>"82.09"</f>
        <v>82.09</v>
      </c>
      <c r="I45" s="10"/>
      <c r="J45" s="10" t="str">
        <f>"66.13"</f>
        <v>66.13</v>
      </c>
      <c r="K45" s="10"/>
      <c r="L45" s="10" t="str">
        <f>"54.45"</f>
        <v>54.45</v>
      </c>
      <c r="M45" s="10"/>
      <c r="N45" s="10"/>
      <c r="O45" s="10"/>
      <c r="P45" s="10"/>
      <c r="Q45" s="10"/>
      <c r="R45" s="10"/>
      <c r="S45" s="10" t="str">
        <f>"115.79"</f>
        <v>115.79</v>
      </c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 t="str">
        <f>"84.57"</f>
        <v>84.57</v>
      </c>
      <c r="AH45" s="10" t="str">
        <f>"112.18"</f>
        <v>112.18</v>
      </c>
      <c r="AI45" s="10"/>
      <c r="AJ45" s="10" t="str">
        <f>"78.70"</f>
        <v>78.70</v>
      </c>
      <c r="AK45" s="10"/>
      <c r="AL45" s="10"/>
      <c r="AM45" s="10"/>
      <c r="AN45" s="10"/>
      <c r="AO45" s="10"/>
    </row>
    <row r="46" spans="1:41">
      <c r="A46" s="8">
        <v>44</v>
      </c>
      <c r="B46" s="8">
        <v>6519</v>
      </c>
      <c r="C46" s="8" t="s">
        <v>187</v>
      </c>
      <c r="D46" s="8" t="s">
        <v>70</v>
      </c>
      <c r="E46" s="2" t="str">
        <f>"60.38"</f>
        <v>60.38</v>
      </c>
      <c r="F46" s="9"/>
      <c r="G46" s="9">
        <v>2017</v>
      </c>
      <c r="H46" s="10" t="str">
        <f>"18.44"</f>
        <v>18.44</v>
      </c>
      <c r="I46" s="10"/>
      <c r="J46" s="10" t="str">
        <f>"55.28"</f>
        <v>55.28</v>
      </c>
      <c r="K46" s="10"/>
      <c r="L46" s="10" t="str">
        <f>"65.48"</f>
        <v>65.48</v>
      </c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</row>
    <row r="47" spans="1:41">
      <c r="A47" s="8">
        <v>45</v>
      </c>
      <c r="B47" s="8">
        <v>6163</v>
      </c>
      <c r="C47" s="8" t="s">
        <v>188</v>
      </c>
      <c r="D47" s="8" t="s">
        <v>189</v>
      </c>
      <c r="E47" s="2" t="str">
        <f>"60.70"</f>
        <v>60.70</v>
      </c>
      <c r="F47" s="9"/>
      <c r="G47" s="9">
        <v>2017</v>
      </c>
      <c r="H47" s="10" t="str">
        <f>"39.81"</f>
        <v>39.81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 t="str">
        <f>"48.16"</f>
        <v>48.16</v>
      </c>
      <c r="AH47" s="10" t="str">
        <f>"83.95"</f>
        <v>83.95</v>
      </c>
      <c r="AI47" s="10" t="str">
        <f>"73.24"</f>
        <v>73.24</v>
      </c>
      <c r="AJ47" s="10"/>
      <c r="AK47" s="10"/>
      <c r="AL47" s="10"/>
      <c r="AM47" s="10"/>
      <c r="AN47" s="10"/>
      <c r="AO47" s="10"/>
    </row>
    <row r="48" spans="1:41">
      <c r="A48" s="8">
        <v>46</v>
      </c>
      <c r="B48" s="8">
        <v>7834</v>
      </c>
      <c r="C48" s="8" t="s">
        <v>190</v>
      </c>
      <c r="D48" s="8" t="s">
        <v>10</v>
      </c>
      <c r="E48" s="2" t="str">
        <f>"60.73"</f>
        <v>60.73</v>
      </c>
      <c r="F48" s="9"/>
      <c r="G48" s="9">
        <v>2017</v>
      </c>
      <c r="H48" s="10" t="str">
        <f>"140.04"</f>
        <v>140.04</v>
      </c>
      <c r="I48" s="10" t="str">
        <f>"76.43"</f>
        <v>76.43</v>
      </c>
      <c r="J48" s="10"/>
      <c r="K48" s="10" t="str">
        <f>"64.20"</f>
        <v>64.20</v>
      </c>
      <c r="L48" s="10"/>
      <c r="M48" s="10"/>
      <c r="N48" s="10"/>
      <c r="O48" s="10"/>
      <c r="P48" s="10"/>
      <c r="Q48" s="10"/>
      <c r="R48" s="10" t="str">
        <f>"121.33"</f>
        <v>121.33</v>
      </c>
      <c r="S48" s="10" t="str">
        <f>"96.58"</f>
        <v>96.58</v>
      </c>
      <c r="T48" s="10"/>
      <c r="U48" s="10"/>
      <c r="V48" s="10" t="str">
        <f>"85.20"</f>
        <v>85.20</v>
      </c>
      <c r="W48" s="10"/>
      <c r="X48" s="10"/>
      <c r="Y48" s="10" t="str">
        <f>"96.24"</f>
        <v>96.24</v>
      </c>
      <c r="Z48" s="10"/>
      <c r="AA48" s="10"/>
      <c r="AB48" s="10"/>
      <c r="AC48" s="10"/>
      <c r="AD48" s="10" t="str">
        <f>"109.70"</f>
        <v>109.70</v>
      </c>
      <c r="AE48" s="10"/>
      <c r="AF48" s="10" t="str">
        <f>"95.74"</f>
        <v>95.74</v>
      </c>
      <c r="AG48" s="10"/>
      <c r="AH48" s="10"/>
      <c r="AI48" s="10" t="str">
        <f>"66.86"</f>
        <v>66.86</v>
      </c>
      <c r="AJ48" s="10"/>
      <c r="AK48" s="10"/>
      <c r="AL48" s="10"/>
      <c r="AM48" s="10"/>
      <c r="AN48" s="10"/>
      <c r="AO48" s="10" t="str">
        <f>"57.25"</f>
        <v>57.25</v>
      </c>
    </row>
    <row r="49" spans="1:41">
      <c r="A49" s="8">
        <v>47</v>
      </c>
      <c r="B49" s="8">
        <v>10262</v>
      </c>
      <c r="C49" s="8" t="s">
        <v>191</v>
      </c>
      <c r="D49" s="8" t="s">
        <v>14</v>
      </c>
      <c r="E49" s="2" t="str">
        <f>"62.52"</f>
        <v>62.52</v>
      </c>
      <c r="F49" s="9" t="s">
        <v>9</v>
      </c>
      <c r="G49" s="9">
        <v>2017</v>
      </c>
      <c r="H49" s="10" t="str">
        <f>"76.09"</f>
        <v>76.09</v>
      </c>
      <c r="I49" s="10"/>
      <c r="J49" s="10"/>
      <c r="K49" s="10"/>
      <c r="L49" s="10" t="str">
        <f>"43.42"</f>
        <v>43.42</v>
      </c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</row>
    <row r="50" spans="1:41">
      <c r="A50" s="8">
        <v>48</v>
      </c>
      <c r="B50" s="8">
        <v>9392</v>
      </c>
      <c r="C50" s="8" t="s">
        <v>192</v>
      </c>
      <c r="D50" s="8" t="s">
        <v>65</v>
      </c>
      <c r="E50" s="2" t="str">
        <f>"66.15"</f>
        <v>66.15</v>
      </c>
      <c r="F50" s="9"/>
      <c r="G50" s="9">
        <v>2017</v>
      </c>
      <c r="H50" s="10" t="str">
        <f>"104.21"</f>
        <v>104.21</v>
      </c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 t="str">
        <f>"55.23"</f>
        <v>55.23</v>
      </c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 t="str">
        <f>"77.06"</f>
        <v>77.06</v>
      </c>
      <c r="AK50" s="10"/>
      <c r="AL50" s="10"/>
      <c r="AM50" s="10"/>
      <c r="AN50" s="10"/>
      <c r="AO50" s="10"/>
    </row>
    <row r="51" spans="1:41">
      <c r="A51" s="8">
        <v>49</v>
      </c>
      <c r="B51" s="8">
        <v>7626</v>
      </c>
      <c r="C51" s="8" t="s">
        <v>193</v>
      </c>
      <c r="D51" s="8" t="s">
        <v>186</v>
      </c>
      <c r="E51" s="2" t="str">
        <f>"66.17"</f>
        <v>66.17</v>
      </c>
      <c r="F51" s="9"/>
      <c r="G51" s="9">
        <v>2017</v>
      </c>
      <c r="H51" s="10" t="str">
        <f>"72.21"</f>
        <v>72.21</v>
      </c>
      <c r="I51" s="10"/>
      <c r="J51" s="10" t="str">
        <f>"71.55"</f>
        <v>71.55</v>
      </c>
      <c r="K51" s="10"/>
      <c r="L51" s="10" t="str">
        <f>"60.79"</f>
        <v>60.79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 t="str">
        <f>"118.46"</f>
        <v>118.46</v>
      </c>
      <c r="AD51" s="10" t="str">
        <f>"128.91"</f>
        <v>128.91</v>
      </c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</row>
    <row r="52" spans="1:41">
      <c r="A52" s="8">
        <v>50</v>
      </c>
      <c r="B52" s="8">
        <v>10107</v>
      </c>
      <c r="C52" s="8" t="s">
        <v>194</v>
      </c>
      <c r="D52" s="8" t="s">
        <v>195</v>
      </c>
      <c r="E52" s="2" t="str">
        <f>"66.18"</f>
        <v>66.18</v>
      </c>
      <c r="F52" s="9"/>
      <c r="G52" s="9">
        <v>2017</v>
      </c>
      <c r="H52" s="10" t="str">
        <f>"287.89"</f>
        <v>287.89</v>
      </c>
      <c r="I52" s="10" t="str">
        <f>"75.62"</f>
        <v>75.62</v>
      </c>
      <c r="J52" s="10"/>
      <c r="K52" s="10" t="str">
        <f>"59.00"</f>
        <v>59.00</v>
      </c>
      <c r="L52" s="10"/>
      <c r="M52" s="10"/>
      <c r="N52" s="10"/>
      <c r="O52" s="10"/>
      <c r="P52" s="10"/>
      <c r="Q52" s="10"/>
      <c r="R52" s="10"/>
      <c r="S52" s="10" t="str">
        <f>"120.98"</f>
        <v>120.98</v>
      </c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 t="str">
        <f>"73.35"</f>
        <v>73.35</v>
      </c>
      <c r="AH52" s="10" t="str">
        <f>"114.49"</f>
        <v>114.49</v>
      </c>
      <c r="AI52" s="10"/>
      <c r="AJ52" s="10"/>
      <c r="AK52" s="10"/>
      <c r="AL52" s="10"/>
      <c r="AM52" s="10"/>
      <c r="AN52" s="10"/>
      <c r="AO52" s="10"/>
    </row>
    <row r="53" spans="1:41">
      <c r="A53" s="8">
        <v>51</v>
      </c>
      <c r="B53" s="8">
        <v>2635</v>
      </c>
      <c r="C53" s="8" t="s">
        <v>196</v>
      </c>
      <c r="D53" s="8" t="s">
        <v>18</v>
      </c>
      <c r="E53" s="2" t="str">
        <f>"66.37"</f>
        <v>66.37</v>
      </c>
      <c r="F53" s="9"/>
      <c r="G53" s="9">
        <v>2017</v>
      </c>
      <c r="H53" s="10" t="str">
        <f>"85.33"</f>
        <v>85.33</v>
      </c>
      <c r="I53" s="10" t="str">
        <f>"82.49"</f>
        <v>82.49</v>
      </c>
      <c r="J53" s="10"/>
      <c r="K53" s="10" t="str">
        <f>"50.24"</f>
        <v>50.24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</row>
    <row r="54" spans="1:41">
      <c r="A54" s="8">
        <v>52</v>
      </c>
      <c r="B54" s="8">
        <v>6867</v>
      </c>
      <c r="C54" s="8" t="s">
        <v>197</v>
      </c>
      <c r="D54" s="8" t="s">
        <v>12</v>
      </c>
      <c r="E54" s="2" t="str">
        <f>"67.05"</f>
        <v>67.05</v>
      </c>
      <c r="F54" s="9" t="s">
        <v>9</v>
      </c>
      <c r="G54" s="9">
        <v>2017</v>
      </c>
      <c r="H54" s="10" t="str">
        <f>"80.99"</f>
        <v>80.99</v>
      </c>
      <c r="I54" s="10" t="str">
        <f>"46.56"</f>
        <v>46.56</v>
      </c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</row>
    <row r="55" spans="1:41">
      <c r="A55" s="8">
        <v>53</v>
      </c>
      <c r="B55" s="8">
        <v>5739</v>
      </c>
      <c r="C55" s="8" t="s">
        <v>198</v>
      </c>
      <c r="D55" s="8" t="s">
        <v>19</v>
      </c>
      <c r="E55" s="2" t="str">
        <f>"67.36"</f>
        <v>67.36</v>
      </c>
      <c r="F55" s="9"/>
      <c r="G55" s="9">
        <v>2017</v>
      </c>
      <c r="H55" s="10" t="str">
        <f>"89.58"</f>
        <v>89.58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 t="str">
        <f>"70.51"</f>
        <v>70.51</v>
      </c>
      <c r="T55" s="10"/>
      <c r="U55" s="10"/>
      <c r="V55" s="10" t="str">
        <f>"65.34"</f>
        <v>65.34</v>
      </c>
      <c r="W55" s="10"/>
      <c r="X55" s="10"/>
      <c r="Y55" s="10" t="str">
        <f>"69.37"</f>
        <v>69.37</v>
      </c>
      <c r="Z55" s="10"/>
      <c r="AA55" s="10"/>
      <c r="AB55" s="10" t="str">
        <f>"118.71"</f>
        <v>118.71</v>
      </c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</row>
    <row r="56" spans="1:41">
      <c r="A56" s="8">
        <v>54</v>
      </c>
      <c r="B56" s="8">
        <v>8362</v>
      </c>
      <c r="C56" s="8" t="s">
        <v>199</v>
      </c>
      <c r="D56" s="8" t="s">
        <v>19</v>
      </c>
      <c r="E56" s="2" t="str">
        <f>"67.64"</f>
        <v>67.64</v>
      </c>
      <c r="F56" s="9"/>
      <c r="G56" s="9">
        <v>2017</v>
      </c>
      <c r="H56" s="10" t="str">
        <f>"132.62"</f>
        <v>132.62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 t="str">
        <f>"70.93"</f>
        <v>70.93</v>
      </c>
      <c r="T56" s="10"/>
      <c r="U56" s="10"/>
      <c r="V56" s="10" t="str">
        <f>"105.97"</f>
        <v>105.97</v>
      </c>
      <c r="W56" s="10"/>
      <c r="X56" s="10"/>
      <c r="Y56" s="10" t="str">
        <f>"131.46"</f>
        <v>131.46</v>
      </c>
      <c r="Z56" s="10"/>
      <c r="AA56" s="10"/>
      <c r="AB56" s="10" t="str">
        <f>"128.74"</f>
        <v>128.74</v>
      </c>
      <c r="AC56" s="10"/>
      <c r="AD56" s="10"/>
      <c r="AE56" s="10"/>
      <c r="AF56" s="10"/>
      <c r="AG56" s="10"/>
      <c r="AH56" s="10"/>
      <c r="AI56" s="10" t="str">
        <f>"64.34"</f>
        <v>64.34</v>
      </c>
      <c r="AJ56" s="10"/>
      <c r="AK56" s="10"/>
      <c r="AL56" s="10"/>
      <c r="AM56" s="10"/>
      <c r="AN56" s="10"/>
      <c r="AO56" s="10"/>
    </row>
    <row r="57" spans="1:41">
      <c r="A57" s="8">
        <v>55</v>
      </c>
      <c r="B57" s="8">
        <v>5455</v>
      </c>
      <c r="C57" s="8" t="s">
        <v>200</v>
      </c>
      <c r="D57" s="8" t="s">
        <v>20</v>
      </c>
      <c r="E57" s="2" t="str">
        <f>"68.16"</f>
        <v>68.16</v>
      </c>
      <c r="F57" s="9"/>
      <c r="G57" s="9">
        <v>2017</v>
      </c>
      <c r="H57" s="10" t="str">
        <f>"76.04"</f>
        <v>76.04</v>
      </c>
      <c r="I57" s="10"/>
      <c r="J57" s="10"/>
      <c r="K57" s="10"/>
      <c r="L57" s="10" t="str">
        <f>"61.62"</f>
        <v>61.62</v>
      </c>
      <c r="M57" s="10" t="str">
        <f>"82.25"</f>
        <v>82.25</v>
      </c>
      <c r="N57" s="10"/>
      <c r="O57" s="10" t="str">
        <f>"76.66"</f>
        <v>76.66</v>
      </c>
      <c r="P57" s="10"/>
      <c r="Q57" s="10"/>
      <c r="R57" s="10"/>
      <c r="S57" s="10" t="str">
        <f>"81.44"</f>
        <v>81.44</v>
      </c>
      <c r="T57" s="10"/>
      <c r="U57" s="10"/>
      <c r="V57" s="10"/>
      <c r="W57" s="10"/>
      <c r="X57" s="10"/>
      <c r="Y57" s="10"/>
      <c r="Z57" s="10" t="str">
        <f>"74.69"</f>
        <v>74.69</v>
      </c>
      <c r="AA57" s="10"/>
      <c r="AB57" s="10"/>
      <c r="AC57" s="10"/>
      <c r="AD57" s="10"/>
      <c r="AE57" s="10"/>
      <c r="AF57" s="10"/>
      <c r="AG57" s="10"/>
      <c r="AH57" s="10"/>
      <c r="AI57" s="10" t="str">
        <f>"94.22"</f>
        <v>94.22</v>
      </c>
      <c r="AJ57" s="10" t="str">
        <f>"81.68"</f>
        <v>81.68</v>
      </c>
      <c r="AK57" s="10"/>
      <c r="AL57" s="10"/>
      <c r="AM57" s="10"/>
      <c r="AN57" s="10"/>
      <c r="AO57" s="10"/>
    </row>
    <row r="58" spans="1:41">
      <c r="A58" s="8">
        <v>56</v>
      </c>
      <c r="B58" s="8">
        <v>1858</v>
      </c>
      <c r="C58" s="8" t="s">
        <v>201</v>
      </c>
      <c r="D58" s="8" t="s">
        <v>202</v>
      </c>
      <c r="E58" s="2" t="str">
        <f>"69.34"</f>
        <v>69.34</v>
      </c>
      <c r="F58" s="9"/>
      <c r="G58" s="9">
        <v>2017</v>
      </c>
      <c r="H58" s="10" t="str">
        <f>"94.71"</f>
        <v>94.71</v>
      </c>
      <c r="I58" s="10"/>
      <c r="J58" s="10" t="str">
        <f>"80.85"</f>
        <v>80.85</v>
      </c>
      <c r="K58" s="10"/>
      <c r="L58" s="10" t="str">
        <f>"67.96"</f>
        <v>67.96</v>
      </c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 t="str">
        <f>"103.47"</f>
        <v>103.47</v>
      </c>
      <c r="AD58" s="10" t="str">
        <f>"121.27"</f>
        <v>121.27</v>
      </c>
      <c r="AE58" s="10"/>
      <c r="AF58" s="10"/>
      <c r="AG58" s="10" t="str">
        <f>"70.71"</f>
        <v>70.71</v>
      </c>
      <c r="AH58" s="10"/>
      <c r="AI58" s="10" t="str">
        <f>"104.29"</f>
        <v>104.29</v>
      </c>
      <c r="AJ58" s="10"/>
      <c r="AK58" s="10"/>
      <c r="AL58" s="10"/>
      <c r="AM58" s="10"/>
      <c r="AN58" s="10"/>
      <c r="AO58" s="10"/>
    </row>
    <row r="59" spans="1:41">
      <c r="A59" s="8">
        <v>57</v>
      </c>
      <c r="B59" s="8">
        <v>4893</v>
      </c>
      <c r="C59" s="8" t="s">
        <v>203</v>
      </c>
      <c r="D59" s="8" t="s">
        <v>12</v>
      </c>
      <c r="E59" s="2" t="str">
        <f>"70.19"</f>
        <v>70.19</v>
      </c>
      <c r="F59" s="9"/>
      <c r="G59" s="9">
        <v>2017</v>
      </c>
      <c r="H59" s="10" t="str">
        <f>"92.26"</f>
        <v>92.26</v>
      </c>
      <c r="I59" s="10" t="str">
        <f>"91.50"</f>
        <v>91.50</v>
      </c>
      <c r="J59" s="10"/>
      <c r="K59" s="10" t="str">
        <f>"48.87"</f>
        <v>48.87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</row>
    <row r="60" spans="1:41">
      <c r="A60" s="8">
        <v>58</v>
      </c>
      <c r="B60" s="8">
        <v>1938</v>
      </c>
      <c r="C60" s="8" t="s">
        <v>204</v>
      </c>
      <c r="D60" s="8" t="s">
        <v>93</v>
      </c>
      <c r="E60" s="2" t="str">
        <f>"71.93"</f>
        <v>71.93</v>
      </c>
      <c r="F60" s="9" t="s">
        <v>11</v>
      </c>
      <c r="G60" s="9">
        <v>2017</v>
      </c>
      <c r="H60" s="10" t="str">
        <f>"49.95"</f>
        <v>49.95</v>
      </c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</row>
    <row r="61" spans="1:41">
      <c r="A61" s="8">
        <v>59</v>
      </c>
      <c r="B61" s="8">
        <v>6295</v>
      </c>
      <c r="C61" s="8" t="s">
        <v>205</v>
      </c>
      <c r="D61" s="8" t="s">
        <v>28</v>
      </c>
      <c r="E61" s="2" t="str">
        <f>"71.97"</f>
        <v>71.97</v>
      </c>
      <c r="F61" s="9"/>
      <c r="G61" s="9">
        <v>2017</v>
      </c>
      <c r="H61" s="10" t="str">
        <f>"77.30"</f>
        <v>77.30</v>
      </c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 t="str">
        <f>"67.85"</f>
        <v>67.85</v>
      </c>
      <c r="T61" s="10"/>
      <c r="U61" s="10"/>
      <c r="V61" s="10"/>
      <c r="W61" s="10"/>
      <c r="X61" s="10"/>
      <c r="Y61" s="10"/>
      <c r="Z61" s="10" t="str">
        <f>"76.09"</f>
        <v>76.09</v>
      </c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</row>
    <row r="62" spans="1:41">
      <c r="A62" s="8">
        <v>60</v>
      </c>
      <c r="B62" s="8">
        <v>3479</v>
      </c>
      <c r="C62" s="8" t="s">
        <v>206</v>
      </c>
      <c r="D62" s="8" t="s">
        <v>68</v>
      </c>
      <c r="E62" s="2" t="str">
        <f>"72.06"</f>
        <v>72.06</v>
      </c>
      <c r="F62" s="9"/>
      <c r="G62" s="9">
        <v>2017</v>
      </c>
      <c r="H62" s="10" t="str">
        <f>"67.09"</f>
        <v>67.09</v>
      </c>
      <c r="I62" s="10" t="str">
        <f>"73.34"</f>
        <v>73.34</v>
      </c>
      <c r="J62" s="10"/>
      <c r="K62" s="10" t="str">
        <f>"70.77"</f>
        <v>70.77</v>
      </c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</row>
    <row r="63" spans="1:41">
      <c r="A63" s="8">
        <v>61</v>
      </c>
      <c r="B63" s="8">
        <v>11090</v>
      </c>
      <c r="C63" s="8" t="s">
        <v>207</v>
      </c>
      <c r="D63" s="8" t="s">
        <v>208</v>
      </c>
      <c r="E63" s="2" t="str">
        <f>"73.71"</f>
        <v>73.71</v>
      </c>
      <c r="F63" s="9"/>
      <c r="G63" s="9">
        <v>2017</v>
      </c>
      <c r="H63" s="10"/>
      <c r="I63" s="10" t="str">
        <f>"71.99"</f>
        <v>71.99</v>
      </c>
      <c r="J63" s="10"/>
      <c r="K63" s="10" t="str">
        <f>"75.43"</f>
        <v>75.43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</row>
    <row r="64" spans="1:41">
      <c r="A64" s="8">
        <v>62</v>
      </c>
      <c r="B64" s="8">
        <v>934</v>
      </c>
      <c r="C64" s="8" t="s">
        <v>209</v>
      </c>
      <c r="D64" s="8" t="s">
        <v>14</v>
      </c>
      <c r="E64" s="2" t="str">
        <f>"73.75"</f>
        <v>73.75</v>
      </c>
      <c r="F64" s="9"/>
      <c r="G64" s="9">
        <v>2017</v>
      </c>
      <c r="H64" s="10" t="str">
        <f>"68.83"</f>
        <v>68.83</v>
      </c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 t="str">
        <f>"59.48"</f>
        <v>59.48</v>
      </c>
      <c r="AH64" s="10" t="str">
        <f>"88.02"</f>
        <v>88.02</v>
      </c>
      <c r="AI64" s="10"/>
      <c r="AJ64" s="10"/>
      <c r="AK64" s="10"/>
      <c r="AL64" s="10"/>
      <c r="AM64" s="10"/>
      <c r="AN64" s="10"/>
      <c r="AO64" s="10"/>
    </row>
    <row r="65" spans="1:41">
      <c r="A65" s="8">
        <v>63</v>
      </c>
      <c r="B65" s="8">
        <v>10478</v>
      </c>
      <c r="C65" s="8" t="s">
        <v>210</v>
      </c>
      <c r="D65" s="8" t="s">
        <v>19</v>
      </c>
      <c r="E65" s="2" t="str">
        <f>"75.39"</f>
        <v>75.39</v>
      </c>
      <c r="F65" s="9"/>
      <c r="G65" s="9">
        <v>2017</v>
      </c>
      <c r="H65" s="10" t="str">
        <f>"149.63"</f>
        <v>149.63</v>
      </c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 t="str">
        <f>"91.80"</f>
        <v>91.80</v>
      </c>
      <c r="W65" s="10"/>
      <c r="X65" s="10"/>
      <c r="Y65" s="10" t="str">
        <f>"97.01"</f>
        <v>97.01</v>
      </c>
      <c r="Z65" s="10"/>
      <c r="AA65" s="10"/>
      <c r="AB65" s="10" t="str">
        <f>"145.44"</f>
        <v>145.44</v>
      </c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 t="str">
        <f>"58.98"</f>
        <v>58.98</v>
      </c>
    </row>
    <row r="66" spans="1:41">
      <c r="A66" s="8">
        <v>64</v>
      </c>
      <c r="B66" s="8">
        <v>7854</v>
      </c>
      <c r="C66" s="8" t="s">
        <v>211</v>
      </c>
      <c r="D66" s="8" t="s">
        <v>19</v>
      </c>
      <c r="E66" s="2" t="str">
        <f>"75.56"</f>
        <v>75.56</v>
      </c>
      <c r="F66" s="9"/>
      <c r="G66" s="9">
        <v>2017</v>
      </c>
      <c r="H66" s="10" t="str">
        <f>"166.30"</f>
        <v>166.30</v>
      </c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 t="str">
        <f>"95.85"</f>
        <v>95.85</v>
      </c>
      <c r="AK66" s="10"/>
      <c r="AL66" s="10"/>
      <c r="AM66" s="10" t="str">
        <f>"168.53"</f>
        <v>168.53</v>
      </c>
      <c r="AN66" s="10"/>
      <c r="AO66" s="10" t="str">
        <f>"55.26"</f>
        <v>55.26</v>
      </c>
    </row>
    <row r="67" spans="1:41">
      <c r="A67" s="8">
        <v>65</v>
      </c>
      <c r="B67" s="8">
        <v>10660</v>
      </c>
      <c r="C67" s="8" t="s">
        <v>212</v>
      </c>
      <c r="D67" s="8" t="s">
        <v>14</v>
      </c>
      <c r="E67" s="2" t="str">
        <f>"75.85"</f>
        <v>75.85</v>
      </c>
      <c r="F67" s="9"/>
      <c r="G67" s="9">
        <v>2017</v>
      </c>
      <c r="H67" s="10" t="str">
        <f>"73.77"</f>
        <v>73.77</v>
      </c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 t="str">
        <f>"79.62"</f>
        <v>79.62</v>
      </c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 t="str">
        <f>"72.08"</f>
        <v>72.08</v>
      </c>
      <c r="AH67" s="10" t="str">
        <f>"102.85"</f>
        <v>102.85</v>
      </c>
      <c r="AI67" s="10"/>
      <c r="AJ67" s="10"/>
      <c r="AK67" s="10"/>
      <c r="AL67" s="10"/>
      <c r="AM67" s="10"/>
      <c r="AN67" s="10"/>
      <c r="AO67" s="10"/>
    </row>
    <row r="68" spans="1:41">
      <c r="A68" s="8">
        <v>66</v>
      </c>
      <c r="B68" s="8">
        <v>2541</v>
      </c>
      <c r="C68" s="8" t="s">
        <v>213</v>
      </c>
      <c r="D68" s="8" t="s">
        <v>14</v>
      </c>
      <c r="E68" s="2" t="str">
        <f>"76.39"</f>
        <v>76.39</v>
      </c>
      <c r="F68" s="9" t="s">
        <v>9</v>
      </c>
      <c r="G68" s="9">
        <v>2017</v>
      </c>
      <c r="H68" s="10" t="str">
        <f>"97.86"</f>
        <v>97.86</v>
      </c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 t="str">
        <f>"53.05"</f>
        <v>53.05</v>
      </c>
      <c r="AK68" s="10"/>
      <c r="AL68" s="10"/>
      <c r="AM68" s="10"/>
      <c r="AN68" s="10"/>
      <c r="AO68" s="10"/>
    </row>
    <row r="69" spans="1:41">
      <c r="A69" s="8">
        <v>67</v>
      </c>
      <c r="B69" s="8">
        <v>10040</v>
      </c>
      <c r="C69" s="8" t="s">
        <v>214</v>
      </c>
      <c r="D69" s="8" t="s">
        <v>14</v>
      </c>
      <c r="E69" s="2" t="str">
        <f>"78.11"</f>
        <v>78.11</v>
      </c>
      <c r="F69" s="9"/>
      <c r="G69" s="9">
        <v>2017</v>
      </c>
      <c r="H69" s="10" t="str">
        <f>"111.65"</f>
        <v>111.65</v>
      </c>
      <c r="I69" s="10" t="str">
        <f>"77.51"</f>
        <v>77.51</v>
      </c>
      <c r="J69" s="10"/>
      <c r="K69" s="10" t="str">
        <f>"78.71"</f>
        <v>78.71</v>
      </c>
      <c r="L69" s="10"/>
      <c r="M69" s="10"/>
      <c r="N69" s="10"/>
      <c r="O69" s="10"/>
      <c r="P69" s="10"/>
      <c r="Q69" s="10"/>
      <c r="R69" s="10"/>
      <c r="S69" s="10" t="str">
        <f>"157.84"</f>
        <v>157.84</v>
      </c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 t="str">
        <f>"111.89"</f>
        <v>111.89</v>
      </c>
      <c r="AM69" s="10"/>
      <c r="AN69" s="10"/>
      <c r="AO69" s="10"/>
    </row>
    <row r="70" spans="1:41">
      <c r="A70" s="8">
        <v>68</v>
      </c>
      <c r="B70" s="8">
        <v>9957</v>
      </c>
      <c r="C70" s="8" t="s">
        <v>215</v>
      </c>
      <c r="D70" s="8" t="s">
        <v>19</v>
      </c>
      <c r="E70" s="2" t="str">
        <f>"78.32"</f>
        <v>78.32</v>
      </c>
      <c r="F70" s="9"/>
      <c r="G70" s="9">
        <v>2017</v>
      </c>
      <c r="H70" s="10" t="str">
        <f>"149.74"</f>
        <v>149.74</v>
      </c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 t="str">
        <f>"64.20"</f>
        <v>64.20</v>
      </c>
      <c r="T70" s="10"/>
      <c r="U70" s="10"/>
      <c r="V70" s="10" t="str">
        <f>"92.43"</f>
        <v>92.43</v>
      </c>
      <c r="W70" s="10"/>
      <c r="X70" s="10"/>
      <c r="Y70" s="10"/>
      <c r="Z70" s="10"/>
      <c r="AA70" s="10"/>
      <c r="AB70" s="10" t="str">
        <f>"132.26"</f>
        <v>132.26</v>
      </c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</row>
    <row r="71" spans="1:41">
      <c r="A71" s="8">
        <v>69</v>
      </c>
      <c r="B71" s="8">
        <v>10669</v>
      </c>
      <c r="C71" s="8" t="s">
        <v>216</v>
      </c>
      <c r="D71" s="8" t="s">
        <v>14</v>
      </c>
      <c r="E71" s="2" t="str">
        <f>"78.35"</f>
        <v>78.35</v>
      </c>
      <c r="F71" s="9"/>
      <c r="G71" s="9">
        <v>2017</v>
      </c>
      <c r="H71" s="10" t="str">
        <f>"98.54"</f>
        <v>98.54</v>
      </c>
      <c r="I71" s="10" t="str">
        <f>"89.89"</f>
        <v>89.89</v>
      </c>
      <c r="J71" s="10"/>
      <c r="K71" s="10" t="str">
        <f>"66.80"</f>
        <v>66.80</v>
      </c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</row>
    <row r="72" spans="1:41">
      <c r="A72" s="8">
        <v>70</v>
      </c>
      <c r="B72" s="8">
        <v>4454</v>
      </c>
      <c r="C72" s="8" t="s">
        <v>217</v>
      </c>
      <c r="D72" s="8" t="s">
        <v>14</v>
      </c>
      <c r="E72" s="2" t="str">
        <f>"79.27"</f>
        <v>79.27</v>
      </c>
      <c r="F72" s="9"/>
      <c r="G72" s="9">
        <v>2017</v>
      </c>
      <c r="H72" s="10" t="str">
        <f>"102.08"</f>
        <v>102.08</v>
      </c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 t="str">
        <f>"135.69"</f>
        <v>135.69</v>
      </c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 t="str">
        <f>"75.69"</f>
        <v>75.69</v>
      </c>
      <c r="AH72" s="10" t="str">
        <f>"82.85"</f>
        <v>82.85</v>
      </c>
      <c r="AI72" s="10"/>
      <c r="AJ72" s="10"/>
      <c r="AK72" s="10"/>
      <c r="AL72" s="10" t="str">
        <f>"110.58"</f>
        <v>110.58</v>
      </c>
      <c r="AM72" s="10"/>
      <c r="AN72" s="10"/>
      <c r="AO72" s="10"/>
    </row>
    <row r="73" spans="1:41">
      <c r="A73" s="8">
        <v>71</v>
      </c>
      <c r="B73" s="8">
        <v>7883</v>
      </c>
      <c r="C73" s="8" t="s">
        <v>218</v>
      </c>
      <c r="D73" s="8" t="s">
        <v>14</v>
      </c>
      <c r="E73" s="2" t="str">
        <f>"79.30"</f>
        <v>79.30</v>
      </c>
      <c r="F73" s="9"/>
      <c r="G73" s="9">
        <v>2017</v>
      </c>
      <c r="H73" s="10" t="str">
        <f>"68.45"</f>
        <v>68.45</v>
      </c>
      <c r="I73" s="10"/>
      <c r="J73" s="10" t="str">
        <f>"101.13"</f>
        <v>101.13</v>
      </c>
      <c r="K73" s="10"/>
      <c r="L73" s="10" t="str">
        <f>"104.49"</f>
        <v>104.49</v>
      </c>
      <c r="M73" s="10"/>
      <c r="N73" s="10"/>
      <c r="O73" s="10"/>
      <c r="P73" s="10"/>
      <c r="Q73" s="10"/>
      <c r="R73" s="10"/>
      <c r="S73" s="10" t="str">
        <f>"57.47"</f>
        <v>57.47</v>
      </c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</row>
    <row r="74" spans="1:41">
      <c r="A74" s="8">
        <v>72</v>
      </c>
      <c r="B74" s="8">
        <v>3088</v>
      </c>
      <c r="C74" s="8" t="s">
        <v>219</v>
      </c>
      <c r="D74" s="8" t="s">
        <v>18</v>
      </c>
      <c r="E74" s="2" t="str">
        <f>"79.55"</f>
        <v>79.55</v>
      </c>
      <c r="F74" s="9"/>
      <c r="G74" s="9">
        <v>2017</v>
      </c>
      <c r="H74" s="10" t="str">
        <f>"94.57"</f>
        <v>94.57</v>
      </c>
      <c r="I74" s="10" t="str">
        <f>"84.91"</f>
        <v>84.91</v>
      </c>
      <c r="J74" s="10"/>
      <c r="K74" s="10" t="str">
        <f>"74.19"</f>
        <v>74.19</v>
      </c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</row>
    <row r="75" spans="1:41">
      <c r="A75" s="8">
        <v>73</v>
      </c>
      <c r="B75" s="8">
        <v>7835</v>
      </c>
      <c r="C75" s="8" t="s">
        <v>220</v>
      </c>
      <c r="D75" s="8" t="s">
        <v>12</v>
      </c>
      <c r="E75" s="2" t="str">
        <f>"79.69"</f>
        <v>79.69</v>
      </c>
      <c r="F75" s="9"/>
      <c r="G75" s="9">
        <v>2017</v>
      </c>
      <c r="H75" s="10" t="str">
        <f>"68.75"</f>
        <v>68.75</v>
      </c>
      <c r="I75" s="10" t="str">
        <f>"68.76"</f>
        <v>68.76</v>
      </c>
      <c r="J75" s="10"/>
      <c r="K75" s="10" t="str">
        <f>"90.62"</f>
        <v>90.62</v>
      </c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</row>
    <row r="76" spans="1:41">
      <c r="A76" s="8">
        <v>74</v>
      </c>
      <c r="B76" s="8">
        <v>1174</v>
      </c>
      <c r="C76" s="8" t="s">
        <v>221</v>
      </c>
      <c r="D76" s="8" t="s">
        <v>65</v>
      </c>
      <c r="E76" s="2" t="str">
        <f>"80.27"</f>
        <v>80.27</v>
      </c>
      <c r="F76" s="9"/>
      <c r="G76" s="9">
        <v>2017</v>
      </c>
      <c r="H76" s="10" t="str">
        <f>"81.53"</f>
        <v>81.53</v>
      </c>
      <c r="I76" s="10"/>
      <c r="J76" s="10" t="str">
        <f>"82.40"</f>
        <v>82.40</v>
      </c>
      <c r="K76" s="10"/>
      <c r="L76" s="10" t="str">
        <f>"104.49"</f>
        <v>104.49</v>
      </c>
      <c r="M76" s="10" t="str">
        <f>"126.18"</f>
        <v>126.18</v>
      </c>
      <c r="N76" s="10"/>
      <c r="O76" s="10"/>
      <c r="P76" s="10"/>
      <c r="Q76" s="10"/>
      <c r="R76" s="10"/>
      <c r="S76" s="10" t="str">
        <f>"117.33"</f>
        <v>117.33</v>
      </c>
      <c r="T76" s="10"/>
      <c r="U76" s="10"/>
      <c r="V76" s="10"/>
      <c r="W76" s="10"/>
      <c r="X76" s="10"/>
      <c r="Y76" s="10"/>
      <c r="Z76" s="10" t="str">
        <f>"78.13"</f>
        <v>78.13</v>
      </c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 t="str">
        <f>"116.10"</f>
        <v>116.10</v>
      </c>
      <c r="AL76" s="10"/>
      <c r="AM76" s="10"/>
      <c r="AN76" s="10"/>
      <c r="AO76" s="10"/>
    </row>
    <row r="77" spans="1:41">
      <c r="A77" s="8">
        <v>75</v>
      </c>
      <c r="B77" s="8">
        <v>2845</v>
      </c>
      <c r="C77" s="8" t="s">
        <v>222</v>
      </c>
      <c r="D77" s="8" t="s">
        <v>186</v>
      </c>
      <c r="E77" s="2" t="str">
        <f>"80.38"</f>
        <v>80.38</v>
      </c>
      <c r="F77" s="9"/>
      <c r="G77" s="9">
        <v>2017</v>
      </c>
      <c r="H77" s="10" t="str">
        <f>"108.77"</f>
        <v>108.77</v>
      </c>
      <c r="I77" s="10"/>
      <c r="J77" s="10" t="str">
        <f>"127.34"</f>
        <v>127.34</v>
      </c>
      <c r="K77" s="10"/>
      <c r="L77" s="10" t="str">
        <f>"116.49"</f>
        <v>116.49</v>
      </c>
      <c r="M77" s="10"/>
      <c r="N77" s="10"/>
      <c r="O77" s="10"/>
      <c r="P77" s="10"/>
      <c r="Q77" s="10"/>
      <c r="R77" s="10"/>
      <c r="S77" s="10" t="str">
        <f>"98.55"</f>
        <v>98.55</v>
      </c>
      <c r="T77" s="10"/>
      <c r="U77" s="10"/>
      <c r="V77" s="10"/>
      <c r="W77" s="10"/>
      <c r="X77" s="10"/>
      <c r="Y77" s="10"/>
      <c r="Z77" s="10"/>
      <c r="AA77" s="10"/>
      <c r="AB77" s="10"/>
      <c r="AC77" s="10" t="str">
        <f>"95.67"</f>
        <v>95.67</v>
      </c>
      <c r="AD77" s="10"/>
      <c r="AE77" s="10"/>
      <c r="AF77" s="10"/>
      <c r="AG77" s="10" t="str">
        <f>"69.34"</f>
        <v>69.34</v>
      </c>
      <c r="AH77" s="10" t="str">
        <f>"91.42"</f>
        <v>91.42</v>
      </c>
      <c r="AI77" s="10"/>
      <c r="AJ77" s="10"/>
      <c r="AK77" s="10"/>
      <c r="AL77" s="10" t="str">
        <f>"123.51"</f>
        <v>123.51</v>
      </c>
      <c r="AM77" s="10"/>
      <c r="AN77" s="10"/>
      <c r="AO77" s="10"/>
    </row>
    <row r="78" spans="1:41">
      <c r="A78" s="8">
        <v>76</v>
      </c>
      <c r="B78" s="8">
        <v>6288</v>
      </c>
      <c r="C78" s="8" t="s">
        <v>223</v>
      </c>
      <c r="D78" s="8" t="s">
        <v>14</v>
      </c>
      <c r="E78" s="2" t="str">
        <f>"80.56"</f>
        <v>80.56</v>
      </c>
      <c r="F78" s="9"/>
      <c r="G78" s="9">
        <v>2017</v>
      </c>
      <c r="H78" s="10" t="str">
        <f>"38.66"</f>
        <v>38.66</v>
      </c>
      <c r="I78" s="10" t="str">
        <f>"78.85"</f>
        <v>78.85</v>
      </c>
      <c r="J78" s="10"/>
      <c r="K78" s="10" t="str">
        <f>"82.27"</f>
        <v>82.27</v>
      </c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</row>
    <row r="79" spans="1:41">
      <c r="A79" s="8">
        <v>77</v>
      </c>
      <c r="B79" s="8">
        <v>7851</v>
      </c>
      <c r="C79" s="8" t="s">
        <v>224</v>
      </c>
      <c r="D79" s="8" t="s">
        <v>19</v>
      </c>
      <c r="E79" s="2" t="str">
        <f>"81.00"</f>
        <v>81.00</v>
      </c>
      <c r="F79" s="9"/>
      <c r="G79" s="9">
        <v>2017</v>
      </c>
      <c r="H79" s="10" t="str">
        <f>"182.97"</f>
        <v>182.97</v>
      </c>
      <c r="I79" s="10" t="str">
        <f>"103.34"</f>
        <v>103.34</v>
      </c>
      <c r="J79" s="10"/>
      <c r="K79" s="10" t="str">
        <f>"71.46"</f>
        <v>71.46</v>
      </c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 t="str">
        <f>"90.53"</f>
        <v>90.53</v>
      </c>
      <c r="W79" s="10"/>
      <c r="X79" s="10"/>
      <c r="Y79" s="10" t="str">
        <f>"97.71"</f>
        <v>97.71</v>
      </c>
      <c r="Z79" s="10"/>
      <c r="AA79" s="10"/>
      <c r="AB79" s="10" t="str">
        <f>"147.12"</f>
        <v>147.12</v>
      </c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</row>
    <row r="80" spans="1:41">
      <c r="A80" s="8">
        <v>78</v>
      </c>
      <c r="B80" s="8">
        <v>4292</v>
      </c>
      <c r="C80" s="8" t="s">
        <v>225</v>
      </c>
      <c r="D80" s="8" t="s">
        <v>18</v>
      </c>
      <c r="E80" s="2" t="str">
        <f>"81.28"</f>
        <v>81.28</v>
      </c>
      <c r="F80" s="9"/>
      <c r="G80" s="9">
        <v>2017</v>
      </c>
      <c r="H80" s="10" t="str">
        <f>"89.90"</f>
        <v>89.90</v>
      </c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 t="str">
        <f>"88.47"</f>
        <v>88.47</v>
      </c>
      <c r="AD80" s="10" t="str">
        <f>"110.36"</f>
        <v>110.36</v>
      </c>
      <c r="AE80" s="10"/>
      <c r="AF80" s="10"/>
      <c r="AG80" s="10"/>
      <c r="AH80" s="10"/>
      <c r="AI80" s="10" t="str">
        <f>"74.08"</f>
        <v>74.08</v>
      </c>
      <c r="AJ80" s="10"/>
      <c r="AK80" s="10"/>
      <c r="AL80" s="10"/>
      <c r="AM80" s="10"/>
      <c r="AN80" s="10"/>
      <c r="AO80" s="10"/>
    </row>
    <row r="81" spans="1:41">
      <c r="A81" s="8">
        <v>79</v>
      </c>
      <c r="B81" s="8">
        <v>5238</v>
      </c>
      <c r="C81" s="8" t="s">
        <v>226</v>
      </c>
      <c r="D81" s="8" t="s">
        <v>19</v>
      </c>
      <c r="E81" s="2" t="str">
        <f>"82.94"</f>
        <v>82.94</v>
      </c>
      <c r="F81" s="9"/>
      <c r="G81" s="9">
        <v>2017</v>
      </c>
      <c r="H81" s="10" t="str">
        <f>"139.40"</f>
        <v>139.40</v>
      </c>
      <c r="I81" s="10" t="str">
        <f>"112.63"</f>
        <v>112.63</v>
      </c>
      <c r="J81" s="10"/>
      <c r="K81" s="10" t="str">
        <f>"99.11"</f>
        <v>99.11</v>
      </c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 t="str">
        <f>"117.17"</f>
        <v>117.17</v>
      </c>
      <c r="W81" s="10"/>
      <c r="X81" s="10"/>
      <c r="Y81" s="10"/>
      <c r="Z81" s="10"/>
      <c r="AA81" s="10"/>
      <c r="AB81" s="10" t="str">
        <f>"156.95"</f>
        <v>156.95</v>
      </c>
      <c r="AC81" s="10" t="str">
        <f>"91.47"</f>
        <v>91.47</v>
      </c>
      <c r="AD81" s="10"/>
      <c r="AE81" s="10"/>
      <c r="AF81" s="10"/>
      <c r="AG81" s="10"/>
      <c r="AH81" s="10"/>
      <c r="AI81" s="10" t="str">
        <f>"74.41"</f>
        <v>74.41</v>
      </c>
      <c r="AJ81" s="10"/>
      <c r="AK81" s="10"/>
      <c r="AL81" s="10"/>
      <c r="AM81" s="10"/>
      <c r="AN81" s="10"/>
      <c r="AO81" s="10"/>
    </row>
    <row r="82" spans="1:41">
      <c r="A82" s="8">
        <v>80</v>
      </c>
      <c r="B82" s="8">
        <v>9052</v>
      </c>
      <c r="C82" s="8" t="s">
        <v>227</v>
      </c>
      <c r="D82" s="8" t="s">
        <v>18</v>
      </c>
      <c r="E82" s="2" t="str">
        <f>"83.30"</f>
        <v>83.30</v>
      </c>
      <c r="F82" s="9"/>
      <c r="G82" s="9">
        <v>2017</v>
      </c>
      <c r="H82" s="10" t="str">
        <f>"134.34"</f>
        <v>134.34</v>
      </c>
      <c r="I82" s="10" t="str">
        <f>"95.13"</f>
        <v>95.13</v>
      </c>
      <c r="J82" s="10"/>
      <c r="K82" s="10" t="str">
        <f>"71.46"</f>
        <v>71.46</v>
      </c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</row>
    <row r="83" spans="1:41">
      <c r="A83" s="8">
        <v>81</v>
      </c>
      <c r="B83" s="8">
        <v>5257</v>
      </c>
      <c r="C83" s="8" t="s">
        <v>228</v>
      </c>
      <c r="D83" s="8" t="s">
        <v>229</v>
      </c>
      <c r="E83" s="2" t="str">
        <f>"83.32"</f>
        <v>83.32</v>
      </c>
      <c r="F83" s="9"/>
      <c r="G83" s="9">
        <v>2017</v>
      </c>
      <c r="H83" s="10" t="str">
        <f>"90.45"</f>
        <v>90.45</v>
      </c>
      <c r="I83" s="10"/>
      <c r="J83" s="10" t="str">
        <f>"103.32"</f>
        <v>103.32</v>
      </c>
      <c r="K83" s="10"/>
      <c r="L83" s="10" t="str">
        <f>"97.60"</f>
        <v>97.60</v>
      </c>
      <c r="M83" s="10" t="str">
        <f>"91.35"</f>
        <v>91.35</v>
      </c>
      <c r="N83" s="10"/>
      <c r="O83" s="10" t="str">
        <f>"102.58"</f>
        <v>102.58</v>
      </c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 t="str">
        <f>"112.23"</f>
        <v>112.23</v>
      </c>
      <c r="AA83" s="10"/>
      <c r="AB83" s="10"/>
      <c r="AC83" s="10" t="str">
        <f>"75.28"</f>
        <v>75.28</v>
      </c>
      <c r="AD83" s="10" t="str">
        <f>"108.17"</f>
        <v>108.17</v>
      </c>
      <c r="AE83" s="10"/>
      <c r="AF83" s="10"/>
      <c r="AG83" s="10" t="str">
        <f>"109.07"</f>
        <v>109.07</v>
      </c>
      <c r="AH83" s="10" t="str">
        <f>"195.44"</f>
        <v>195.44</v>
      </c>
      <c r="AI83" s="10" t="str">
        <f>"139.03"</f>
        <v>139.03</v>
      </c>
      <c r="AJ83" s="10" t="str">
        <f>"174.73"</f>
        <v>174.73</v>
      </c>
      <c r="AK83" s="10"/>
      <c r="AL83" s="10"/>
      <c r="AM83" s="10"/>
      <c r="AN83" s="10"/>
      <c r="AO83" s="10"/>
    </row>
    <row r="84" spans="1:41">
      <c r="A84" s="8">
        <v>82</v>
      </c>
      <c r="B84" s="8">
        <v>2630</v>
      </c>
      <c r="C84" s="8" t="s">
        <v>230</v>
      </c>
      <c r="D84" s="8" t="s">
        <v>74</v>
      </c>
      <c r="E84" s="2" t="str">
        <f>"83.73"</f>
        <v>83.73</v>
      </c>
      <c r="F84" s="9"/>
      <c r="G84" s="9">
        <v>2017</v>
      </c>
      <c r="H84" s="10" t="str">
        <f>"53.15"</f>
        <v>53.15</v>
      </c>
      <c r="I84" s="10" t="str">
        <f>"85.18"</f>
        <v>85.18</v>
      </c>
      <c r="J84" s="10"/>
      <c r="K84" s="10" t="str">
        <f>"82.27"</f>
        <v>82.27</v>
      </c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</row>
    <row r="85" spans="1:41">
      <c r="A85" s="8">
        <v>83</v>
      </c>
      <c r="B85" s="8">
        <v>5273</v>
      </c>
      <c r="C85" s="8" t="s">
        <v>231</v>
      </c>
      <c r="D85" s="8" t="s">
        <v>14</v>
      </c>
      <c r="E85" s="2" t="str">
        <f>"84.05"</f>
        <v>84.05</v>
      </c>
      <c r="F85" s="9"/>
      <c r="G85" s="9">
        <v>2017</v>
      </c>
      <c r="H85" s="10" t="str">
        <f>"129.34"</f>
        <v>129.34</v>
      </c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 t="str">
        <f>"96.74"</f>
        <v>96.74</v>
      </c>
      <c r="AA85" s="10"/>
      <c r="AB85" s="10"/>
      <c r="AC85" s="10" t="str">
        <f>"93.87"</f>
        <v>93.87</v>
      </c>
      <c r="AD85" s="10" t="str">
        <f>"125.42"</f>
        <v>125.42</v>
      </c>
      <c r="AE85" s="10"/>
      <c r="AF85" s="10"/>
      <c r="AG85" s="10" t="str">
        <f>"74.22"</f>
        <v>74.22</v>
      </c>
      <c r="AH85" s="10" t="str">
        <f>"133.38"</f>
        <v>133.38</v>
      </c>
      <c r="AI85" s="10"/>
      <c r="AJ85" s="10"/>
      <c r="AK85" s="10"/>
      <c r="AL85" s="10"/>
      <c r="AM85" s="10"/>
      <c r="AN85" s="10"/>
      <c r="AO85" s="10"/>
    </row>
    <row r="86" spans="1:41">
      <c r="A86" s="8">
        <v>84</v>
      </c>
      <c r="B86" s="8">
        <v>4883</v>
      </c>
      <c r="C86" s="8" t="s">
        <v>232</v>
      </c>
      <c r="D86" s="8" t="s">
        <v>92</v>
      </c>
      <c r="E86" s="2" t="str">
        <f>"84.19"</f>
        <v>84.19</v>
      </c>
      <c r="F86" s="9"/>
      <c r="G86" s="9">
        <v>2017</v>
      </c>
      <c r="H86" s="10" t="str">
        <f>"214.94"</f>
        <v>214.94</v>
      </c>
      <c r="I86" s="10"/>
      <c r="J86" s="10" t="str">
        <f>"74.78"</f>
        <v>74.78</v>
      </c>
      <c r="K86" s="10"/>
      <c r="L86" s="10" t="str">
        <f>"93.60"</f>
        <v>93.60</v>
      </c>
      <c r="M86" s="10"/>
      <c r="N86" s="10"/>
      <c r="O86" s="10"/>
      <c r="P86" s="10"/>
      <c r="Q86" s="10"/>
      <c r="R86" s="10"/>
      <c r="S86" s="10" t="str">
        <f>"129.11"</f>
        <v>129.11</v>
      </c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</row>
    <row r="87" spans="1:41">
      <c r="A87" s="8">
        <v>85</v>
      </c>
      <c r="B87" s="8">
        <v>6307</v>
      </c>
      <c r="C87" s="8" t="s">
        <v>233</v>
      </c>
      <c r="D87" s="8" t="s">
        <v>10</v>
      </c>
      <c r="E87" s="2" t="str">
        <f>"84.25"</f>
        <v>84.25</v>
      </c>
      <c r="F87" s="9"/>
      <c r="G87" s="9">
        <v>2017</v>
      </c>
      <c r="H87" s="10" t="str">
        <f>"135.81"</f>
        <v>135.81</v>
      </c>
      <c r="I87" s="10" t="str">
        <f>"88.41"</f>
        <v>88.41</v>
      </c>
      <c r="J87" s="10"/>
      <c r="K87" s="10" t="str">
        <f>"80.08"</f>
        <v>80.08</v>
      </c>
      <c r="L87" s="10"/>
      <c r="M87" s="10"/>
      <c r="N87" s="10"/>
      <c r="O87" s="10"/>
      <c r="P87" s="10"/>
      <c r="Q87" s="10"/>
      <c r="R87" s="10" t="str">
        <f>"106.95"</f>
        <v>106.95</v>
      </c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 t="str">
        <f>"156.65"</f>
        <v>156.65</v>
      </c>
      <c r="AG87" s="10"/>
      <c r="AH87" s="10"/>
      <c r="AI87" s="10"/>
      <c r="AJ87" s="10"/>
      <c r="AK87" s="10"/>
      <c r="AL87" s="10"/>
      <c r="AM87" s="10"/>
      <c r="AN87" s="10"/>
      <c r="AO87" s="10"/>
    </row>
    <row r="88" spans="1:41">
      <c r="A88" s="8">
        <v>86</v>
      </c>
      <c r="B88" s="8">
        <v>1312</v>
      </c>
      <c r="C88" s="8" t="s">
        <v>234</v>
      </c>
      <c r="D88" s="8" t="s">
        <v>46</v>
      </c>
      <c r="E88" s="2" t="str">
        <f>"84.34"</f>
        <v>84.34</v>
      </c>
      <c r="F88" s="9"/>
      <c r="G88" s="9">
        <v>2017</v>
      </c>
      <c r="H88" s="10" t="str">
        <f>"51.91"</f>
        <v>51.91</v>
      </c>
      <c r="I88" s="10"/>
      <c r="J88" s="10" t="str">
        <f>"91.57"</f>
        <v>91.57</v>
      </c>
      <c r="K88" s="10"/>
      <c r="L88" s="10" t="str">
        <f>"104.22"</f>
        <v>104.22</v>
      </c>
      <c r="M88" s="10"/>
      <c r="N88" s="10"/>
      <c r="O88" s="10"/>
      <c r="P88" s="10"/>
      <c r="Q88" s="10"/>
      <c r="R88" s="10"/>
      <c r="S88" s="10" t="str">
        <f>"77.10"</f>
        <v>77.10</v>
      </c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</row>
    <row r="89" spans="1:41">
      <c r="A89" s="8">
        <v>87</v>
      </c>
      <c r="B89" s="8">
        <v>3351</v>
      </c>
      <c r="C89" s="8" t="s">
        <v>235</v>
      </c>
      <c r="D89" s="8" t="s">
        <v>27</v>
      </c>
      <c r="E89" s="2" t="str">
        <f>"84.92"</f>
        <v>84.92</v>
      </c>
      <c r="F89" s="9" t="s">
        <v>9</v>
      </c>
      <c r="G89" s="9">
        <v>2017</v>
      </c>
      <c r="H89" s="10" t="str">
        <f>"89.01"</f>
        <v>89.01</v>
      </c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 t="str">
        <f>"58.97"</f>
        <v>58.97</v>
      </c>
      <c r="AJ89" s="10"/>
      <c r="AK89" s="10"/>
      <c r="AL89" s="10"/>
      <c r="AM89" s="10"/>
      <c r="AN89" s="10"/>
      <c r="AO89" s="10"/>
    </row>
    <row r="90" spans="1:41">
      <c r="A90" s="8">
        <v>87</v>
      </c>
      <c r="B90" s="8">
        <v>5199</v>
      </c>
      <c r="C90" s="8" t="s">
        <v>236</v>
      </c>
      <c r="D90" s="8" t="s">
        <v>35</v>
      </c>
      <c r="E90" s="2" t="str">
        <f>"84.92"</f>
        <v>84.92</v>
      </c>
      <c r="F90" s="9"/>
      <c r="G90" s="9">
        <v>2017</v>
      </c>
      <c r="H90" s="10" t="str">
        <f>"85.06"</f>
        <v>85.06</v>
      </c>
      <c r="I90" s="10" t="str">
        <f>"112.22"</f>
        <v>112.22</v>
      </c>
      <c r="J90" s="10"/>
      <c r="K90" s="10"/>
      <c r="L90" s="10"/>
      <c r="M90" s="10"/>
      <c r="N90" s="10"/>
      <c r="O90" s="10"/>
      <c r="P90" s="10"/>
      <c r="Q90" s="10"/>
      <c r="R90" s="10"/>
      <c r="S90" s="10" t="str">
        <f>"57.61"</f>
        <v>57.61</v>
      </c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</row>
    <row r="91" spans="1:41">
      <c r="A91" s="8">
        <v>89</v>
      </c>
      <c r="B91" s="8">
        <v>4108</v>
      </c>
      <c r="C91" s="8" t="s">
        <v>237</v>
      </c>
      <c r="D91" s="8" t="s">
        <v>14</v>
      </c>
      <c r="E91" s="2" t="str">
        <f>"85.14"</f>
        <v>85.14</v>
      </c>
      <c r="F91" s="9"/>
      <c r="G91" s="9">
        <v>2017</v>
      </c>
      <c r="H91" s="10" t="str">
        <f>"96.81"</f>
        <v>96.81</v>
      </c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 t="str">
        <f>"86.99"</f>
        <v>86.99</v>
      </c>
      <c r="U91" s="10"/>
      <c r="V91" s="10"/>
      <c r="W91" s="10"/>
      <c r="X91" s="10"/>
      <c r="Y91" s="10"/>
      <c r="Z91" s="10" t="str">
        <f>"92.52"</f>
        <v>92.52</v>
      </c>
      <c r="AA91" s="10"/>
      <c r="AB91" s="10"/>
      <c r="AC91" s="10" t="str">
        <f>"83.28"</f>
        <v>83.28</v>
      </c>
      <c r="AD91" s="10" t="str">
        <f>"110.57"</f>
        <v>110.57</v>
      </c>
      <c r="AE91" s="10"/>
      <c r="AF91" s="10"/>
      <c r="AG91" s="10"/>
      <c r="AH91" s="10"/>
      <c r="AI91" s="10" t="str">
        <f>"104.96"</f>
        <v>104.96</v>
      </c>
      <c r="AJ91" s="10"/>
      <c r="AK91" s="10"/>
      <c r="AL91" s="10"/>
      <c r="AM91" s="10"/>
      <c r="AN91" s="10"/>
      <c r="AO91" s="10"/>
    </row>
    <row r="92" spans="1:41">
      <c r="A92" s="8">
        <v>90</v>
      </c>
      <c r="B92" s="8">
        <v>5072</v>
      </c>
      <c r="C92" s="8" t="s">
        <v>238</v>
      </c>
      <c r="D92" s="8" t="s">
        <v>58</v>
      </c>
      <c r="E92" s="2" t="str">
        <f>"85.20"</f>
        <v>85.20</v>
      </c>
      <c r="F92" s="9"/>
      <c r="G92" s="9">
        <v>2017</v>
      </c>
      <c r="H92" s="10" t="str">
        <f>"90.95"</f>
        <v>90.95</v>
      </c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 t="str">
        <f>"97.87"</f>
        <v>97.87</v>
      </c>
      <c r="AD92" s="10" t="str">
        <f>"92.24"</f>
        <v>92.24</v>
      </c>
      <c r="AE92" s="10"/>
      <c r="AF92" s="10"/>
      <c r="AG92" s="10" t="str">
        <f>"82.72"</f>
        <v>82.72</v>
      </c>
      <c r="AH92" s="10"/>
      <c r="AI92" s="10" t="str">
        <f>"87.67"</f>
        <v>87.67</v>
      </c>
      <c r="AJ92" s="10"/>
      <c r="AK92" s="10"/>
      <c r="AL92" s="10"/>
      <c r="AM92" s="10"/>
      <c r="AN92" s="10"/>
      <c r="AO92" s="10"/>
    </row>
    <row r="93" spans="1:41">
      <c r="A93" s="8">
        <v>91</v>
      </c>
      <c r="B93" s="8">
        <v>10507</v>
      </c>
      <c r="C93" s="8" t="s">
        <v>239</v>
      </c>
      <c r="D93" s="8" t="s">
        <v>19</v>
      </c>
      <c r="E93" s="2" t="str">
        <f>"85.33"</f>
        <v>85.33</v>
      </c>
      <c r="F93" s="9"/>
      <c r="G93" s="9">
        <v>2017</v>
      </c>
      <c r="H93" s="10" t="str">
        <f>"80.83"</f>
        <v>80.83</v>
      </c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 t="str">
        <f>"77.94"</f>
        <v>77.94</v>
      </c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 t="str">
        <f>"92.71"</f>
        <v>92.71</v>
      </c>
      <c r="AK93" s="10"/>
      <c r="AL93" s="10"/>
      <c r="AM93" s="10"/>
      <c r="AN93" s="10"/>
      <c r="AO93" s="10"/>
    </row>
    <row r="94" spans="1:41">
      <c r="A94" s="8">
        <v>92</v>
      </c>
      <c r="B94" s="8">
        <v>1983</v>
      </c>
      <c r="C94" s="8" t="s">
        <v>240</v>
      </c>
      <c r="D94" s="8" t="s">
        <v>99</v>
      </c>
      <c r="E94" s="2" t="str">
        <f>"85.53"</f>
        <v>85.53</v>
      </c>
      <c r="F94" s="9"/>
      <c r="G94" s="9">
        <v>2017</v>
      </c>
      <c r="H94" s="10" t="str">
        <f>"115.48"</f>
        <v>115.48</v>
      </c>
      <c r="I94" s="10"/>
      <c r="J94" s="10" t="str">
        <f>"88.34"</f>
        <v>88.34</v>
      </c>
      <c r="K94" s="10"/>
      <c r="L94" s="10" t="str">
        <f>"82.71"</f>
        <v>82.71</v>
      </c>
      <c r="M94" s="10"/>
      <c r="N94" s="10"/>
      <c r="O94" s="10"/>
      <c r="P94" s="10"/>
      <c r="Q94" s="10"/>
      <c r="R94" s="10"/>
      <c r="S94" s="10" t="str">
        <f>"115.23"</f>
        <v>115.23</v>
      </c>
      <c r="T94" s="10"/>
      <c r="U94" s="10"/>
      <c r="V94" s="10"/>
      <c r="W94" s="10"/>
      <c r="X94" s="10"/>
      <c r="Y94" s="10"/>
      <c r="Z94" s="10" t="str">
        <f>"101.28"</f>
        <v>101.28</v>
      </c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</row>
    <row r="95" spans="1:41">
      <c r="A95" s="8">
        <v>93</v>
      </c>
      <c r="B95" s="8">
        <v>7354</v>
      </c>
      <c r="C95" s="8" t="s">
        <v>241</v>
      </c>
      <c r="D95" s="8" t="s">
        <v>51</v>
      </c>
      <c r="E95" s="2" t="str">
        <f>"85.72"</f>
        <v>85.72</v>
      </c>
      <c r="F95" s="9"/>
      <c r="G95" s="9">
        <v>2017</v>
      </c>
      <c r="H95" s="10" t="str">
        <f>"90.59"</f>
        <v>90.59</v>
      </c>
      <c r="I95" s="10"/>
      <c r="J95" s="10" t="str">
        <f>"92.73"</f>
        <v>92.73</v>
      </c>
      <c r="K95" s="10"/>
      <c r="L95" s="10" t="str">
        <f>"78.71"</f>
        <v>78.71</v>
      </c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 t="str">
        <f>"92.87"</f>
        <v>92.87</v>
      </c>
      <c r="AD95" s="10" t="str">
        <f>"113.63"</f>
        <v>113.63</v>
      </c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</row>
    <row r="96" spans="1:41">
      <c r="A96" s="8">
        <v>94</v>
      </c>
      <c r="B96" s="8">
        <v>5234</v>
      </c>
      <c r="C96" s="8" t="s">
        <v>242</v>
      </c>
      <c r="D96" s="8" t="s">
        <v>42</v>
      </c>
      <c r="E96" s="2" t="str">
        <f>"86.16"</f>
        <v>86.16</v>
      </c>
      <c r="F96" s="9"/>
      <c r="G96" s="9">
        <v>2017</v>
      </c>
      <c r="H96" s="10" t="str">
        <f>"93.04"</f>
        <v>93.04</v>
      </c>
      <c r="I96" s="10"/>
      <c r="J96" s="10"/>
      <c r="K96" s="10"/>
      <c r="L96" s="10"/>
      <c r="M96" s="10" t="str">
        <f>"112.37"</f>
        <v>112.37</v>
      </c>
      <c r="N96" s="10"/>
      <c r="O96" s="10" t="str">
        <f>"130.47"</f>
        <v>130.47</v>
      </c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 t="str">
        <f>"83.48"</f>
        <v>83.48</v>
      </c>
      <c r="AD96" s="10" t="str">
        <f>"124.33"</f>
        <v>124.33</v>
      </c>
      <c r="AE96" s="10"/>
      <c r="AF96" s="10"/>
      <c r="AG96" s="10" t="str">
        <f>"90.53"</f>
        <v>90.53</v>
      </c>
      <c r="AH96" s="10"/>
      <c r="AI96" s="10" t="str">
        <f>"103.61"</f>
        <v>103.61</v>
      </c>
      <c r="AJ96" s="10" t="str">
        <f>"88.84"</f>
        <v>88.84</v>
      </c>
      <c r="AK96" s="10"/>
      <c r="AL96" s="10" t="str">
        <f>"117.70"</f>
        <v>117.70</v>
      </c>
      <c r="AM96" s="10"/>
      <c r="AN96" s="10"/>
      <c r="AO96" s="10"/>
    </row>
    <row r="97" spans="1:41">
      <c r="A97" s="8">
        <v>95</v>
      </c>
      <c r="B97" s="8">
        <v>10291</v>
      </c>
      <c r="C97" s="8" t="s">
        <v>243</v>
      </c>
      <c r="D97" s="8" t="s">
        <v>10</v>
      </c>
      <c r="E97" s="2" t="str">
        <f>"87.53"</f>
        <v>87.53</v>
      </c>
      <c r="F97" s="9"/>
      <c r="G97" s="9">
        <v>2017</v>
      </c>
      <c r="H97" s="10" t="str">
        <f>"105.50"</f>
        <v>105.50</v>
      </c>
      <c r="I97" s="10" t="str">
        <f>"104.28"</f>
        <v>104.28</v>
      </c>
      <c r="J97" s="10"/>
      <c r="K97" s="10"/>
      <c r="L97" s="10"/>
      <c r="M97" s="10"/>
      <c r="N97" s="10"/>
      <c r="O97" s="10"/>
      <c r="P97" s="10"/>
      <c r="Q97" s="10"/>
      <c r="R97" s="10" t="str">
        <f>"106.22"</f>
        <v>106.22</v>
      </c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 t="str">
        <f>"103.33"</f>
        <v>103.33</v>
      </c>
      <c r="AG97" s="10"/>
      <c r="AH97" s="10"/>
      <c r="AI97" s="10" t="str">
        <f>"71.73"</f>
        <v>71.73</v>
      </c>
      <c r="AJ97" s="10"/>
      <c r="AK97" s="10"/>
      <c r="AL97" s="10"/>
      <c r="AM97" s="10"/>
      <c r="AN97" s="10"/>
      <c r="AO97" s="10"/>
    </row>
    <row r="98" spans="1:41">
      <c r="A98" s="8">
        <v>96</v>
      </c>
      <c r="B98" s="8">
        <v>10284</v>
      </c>
      <c r="C98" s="8" t="s">
        <v>244</v>
      </c>
      <c r="D98" s="8" t="s">
        <v>14</v>
      </c>
      <c r="E98" s="2" t="str">
        <f>"88.17"</f>
        <v>88.17</v>
      </c>
      <c r="F98" s="9"/>
      <c r="G98" s="9">
        <v>2017</v>
      </c>
      <c r="H98" s="10" t="str">
        <f>"96.47"</f>
        <v>96.47</v>
      </c>
      <c r="I98" s="10"/>
      <c r="J98" s="10"/>
      <c r="K98" s="10" t="str">
        <f>"81.45"</f>
        <v>81.45</v>
      </c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 t="str">
        <f>"94.89"</f>
        <v>94.89</v>
      </c>
      <c r="AJ98" s="10"/>
      <c r="AK98" s="10"/>
      <c r="AL98" s="10"/>
      <c r="AM98" s="10"/>
      <c r="AN98" s="10"/>
      <c r="AO98" s="10"/>
    </row>
    <row r="99" spans="1:41">
      <c r="A99" s="8">
        <v>97</v>
      </c>
      <c r="B99" s="8">
        <v>7217</v>
      </c>
      <c r="C99" s="8" t="s">
        <v>245</v>
      </c>
      <c r="D99" s="8" t="s">
        <v>99</v>
      </c>
      <c r="E99" s="2" t="str">
        <f>"88.62"</f>
        <v>88.62</v>
      </c>
      <c r="F99" s="9" t="s">
        <v>9</v>
      </c>
      <c r="G99" s="9">
        <v>2017</v>
      </c>
      <c r="H99" s="10" t="str">
        <f>"41.30"</f>
        <v>41.30</v>
      </c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 t="str">
        <f>"61.54"</f>
        <v>61.54</v>
      </c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</row>
    <row r="100" spans="1:41">
      <c r="A100" s="8">
        <v>98</v>
      </c>
      <c r="B100" s="8">
        <v>6298</v>
      </c>
      <c r="C100" s="8" t="s">
        <v>246</v>
      </c>
      <c r="D100" s="8" t="s">
        <v>19</v>
      </c>
      <c r="E100" s="2" t="str">
        <f>"89.35"</f>
        <v>89.35</v>
      </c>
      <c r="F100" s="9"/>
      <c r="G100" s="9">
        <v>2017</v>
      </c>
      <c r="H100" s="10" t="str">
        <f>"149.19"</f>
        <v>149.19</v>
      </c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 t="str">
        <f>"90.98"</f>
        <v>90.98</v>
      </c>
      <c r="W100" s="10"/>
      <c r="X100" s="10"/>
      <c r="Y100" s="10" t="str">
        <f>"107.82"</f>
        <v>107.82</v>
      </c>
      <c r="Z100" s="10"/>
      <c r="AA100" s="10"/>
      <c r="AB100" s="10" t="str">
        <f>"87.71"</f>
        <v>87.71</v>
      </c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</row>
    <row r="101" spans="1:41">
      <c r="A101" s="8">
        <v>99</v>
      </c>
      <c r="B101" s="8">
        <v>3076</v>
      </c>
      <c r="C101" s="8" t="s">
        <v>247</v>
      </c>
      <c r="D101" s="8" t="s">
        <v>59</v>
      </c>
      <c r="E101" s="2" t="str">
        <f>"89.37"</f>
        <v>89.37</v>
      </c>
      <c r="F101" s="9"/>
      <c r="G101" s="9">
        <v>2017</v>
      </c>
      <c r="H101" s="10" t="str">
        <f>"96.32"</f>
        <v>96.32</v>
      </c>
      <c r="I101" s="10" t="str">
        <f>"89.08"</f>
        <v>89.08</v>
      </c>
      <c r="J101" s="10"/>
      <c r="K101" s="10" t="str">
        <f>"89.66"</f>
        <v>89.66</v>
      </c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</row>
    <row r="102" spans="1:41">
      <c r="A102" s="8">
        <v>100</v>
      </c>
      <c r="B102" s="8">
        <v>3112</v>
      </c>
      <c r="C102" s="8" t="s">
        <v>248</v>
      </c>
      <c r="D102" s="8" t="s">
        <v>35</v>
      </c>
      <c r="E102" s="2" t="str">
        <f>"89.62"</f>
        <v>89.62</v>
      </c>
      <c r="F102" s="9"/>
      <c r="G102" s="9">
        <v>2017</v>
      </c>
      <c r="H102" s="10" t="str">
        <f>"110.04"</f>
        <v>110.04</v>
      </c>
      <c r="I102" s="10"/>
      <c r="J102" s="10"/>
      <c r="K102" s="10"/>
      <c r="L102" s="10"/>
      <c r="M102" s="10" t="str">
        <f>"178.26"</f>
        <v>178.26</v>
      </c>
      <c r="N102" s="10"/>
      <c r="O102" s="10" t="str">
        <f>"142.52"</f>
        <v>142.52</v>
      </c>
      <c r="P102" s="10"/>
      <c r="Q102" s="10"/>
      <c r="R102" s="10"/>
      <c r="S102" s="10"/>
      <c r="T102" s="10" t="str">
        <f>"113.23"</f>
        <v>113.23</v>
      </c>
      <c r="U102" s="10"/>
      <c r="V102" s="10"/>
      <c r="W102" s="10"/>
      <c r="X102" s="10"/>
      <c r="Y102" s="10"/>
      <c r="Z102" s="10" t="str">
        <f>"90.17"</f>
        <v>90.17</v>
      </c>
      <c r="AA102" s="10"/>
      <c r="AB102" s="10"/>
      <c r="AC102" s="10" t="str">
        <f>"89.07"</f>
        <v>89.07</v>
      </c>
      <c r="AD102" s="10" t="str">
        <f>"137.86"</f>
        <v>137.86</v>
      </c>
      <c r="AE102" s="10"/>
      <c r="AF102" s="10"/>
      <c r="AG102" s="10"/>
      <c r="AH102" s="10"/>
      <c r="AI102" s="10" t="str">
        <f>"108.15"</f>
        <v>108.15</v>
      </c>
      <c r="AJ102" s="10"/>
      <c r="AK102" s="10"/>
      <c r="AL102" s="10"/>
      <c r="AM102" s="10"/>
      <c r="AN102" s="10"/>
      <c r="AO102" s="10"/>
    </row>
    <row r="103" spans="1:41">
      <c r="A103" s="8">
        <v>101</v>
      </c>
      <c r="B103" s="8">
        <v>7816</v>
      </c>
      <c r="C103" s="8" t="s">
        <v>249</v>
      </c>
      <c r="D103" s="8" t="s">
        <v>10</v>
      </c>
      <c r="E103" s="2" t="str">
        <f>"89.71"</f>
        <v>89.71</v>
      </c>
      <c r="F103" s="9"/>
      <c r="G103" s="9">
        <v>2017</v>
      </c>
      <c r="H103" s="10" t="str">
        <f>"92.00"</f>
        <v>92.00</v>
      </c>
      <c r="I103" s="10"/>
      <c r="J103" s="10"/>
      <c r="K103" s="10" t="str">
        <f>"96.37"</f>
        <v>96.37</v>
      </c>
      <c r="L103" s="10"/>
      <c r="M103" s="10"/>
      <c r="N103" s="10"/>
      <c r="O103" s="10"/>
      <c r="P103" s="10"/>
      <c r="Q103" s="10"/>
      <c r="R103" s="10" t="str">
        <f>"100.32"</f>
        <v>100.32</v>
      </c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 t="str">
        <f>"104.28"</f>
        <v>104.28</v>
      </c>
      <c r="AG103" s="10"/>
      <c r="AH103" s="10"/>
      <c r="AI103" s="10"/>
      <c r="AJ103" s="10"/>
      <c r="AK103" s="10"/>
      <c r="AL103" s="10"/>
      <c r="AM103" s="10"/>
      <c r="AN103" s="10"/>
      <c r="AO103" s="10" t="str">
        <f>"83.04"</f>
        <v>83.04</v>
      </c>
    </row>
    <row r="104" spans="1:41">
      <c r="A104" s="8">
        <v>102</v>
      </c>
      <c r="B104" s="8">
        <v>9384</v>
      </c>
      <c r="C104" s="8" t="s">
        <v>250</v>
      </c>
      <c r="D104" s="8" t="s">
        <v>42</v>
      </c>
      <c r="E104" s="2" t="str">
        <f>"90.58"</f>
        <v>90.58</v>
      </c>
      <c r="F104" s="9"/>
      <c r="G104" s="9">
        <v>2017</v>
      </c>
      <c r="H104" s="10" t="str">
        <f>"71.91"</f>
        <v>71.91</v>
      </c>
      <c r="I104" s="10"/>
      <c r="J104" s="10" t="str">
        <f>"86.40"</f>
        <v>86.40</v>
      </c>
      <c r="K104" s="10"/>
      <c r="L104" s="10" t="str">
        <f>"117.45"</f>
        <v>117.45</v>
      </c>
      <c r="M104" s="10"/>
      <c r="N104" s="10"/>
      <c r="O104" s="10"/>
      <c r="P104" s="10"/>
      <c r="Q104" s="10"/>
      <c r="R104" s="10"/>
      <c r="S104" s="10" t="str">
        <f>"94.76"</f>
        <v>94.76</v>
      </c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 t="str">
        <f>"121.74"</f>
        <v>121.74</v>
      </c>
      <c r="AI104" s="10" t="str">
        <f>"102.44"</f>
        <v>102.44</v>
      </c>
      <c r="AJ104" s="10" t="str">
        <f>"133.27"</f>
        <v>133.27</v>
      </c>
      <c r="AK104" s="10"/>
      <c r="AL104" s="10" t="str">
        <f>"95.01"</f>
        <v>95.01</v>
      </c>
      <c r="AM104" s="10"/>
      <c r="AN104" s="10"/>
      <c r="AO104" s="10"/>
    </row>
    <row r="105" spans="1:41">
      <c r="A105" s="8">
        <v>103</v>
      </c>
      <c r="B105" s="8">
        <v>3299</v>
      </c>
      <c r="C105" s="8" t="s">
        <v>251</v>
      </c>
      <c r="D105" s="8" t="s">
        <v>42</v>
      </c>
      <c r="E105" s="2" t="str">
        <f>"90.66"</f>
        <v>90.66</v>
      </c>
      <c r="F105" s="9"/>
      <c r="G105" s="9">
        <v>2017</v>
      </c>
      <c r="H105" s="10" t="str">
        <f>"81.28"</f>
        <v>81.28</v>
      </c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 t="str">
        <f>"86.48"</f>
        <v>86.48</v>
      </c>
      <c r="AD105" s="10" t="str">
        <f>"114.72"</f>
        <v>114.72</v>
      </c>
      <c r="AE105" s="10"/>
      <c r="AF105" s="10"/>
      <c r="AG105" s="10"/>
      <c r="AH105" s="10" t="str">
        <f>"94.83"</f>
        <v>94.83</v>
      </c>
      <c r="AI105" s="10" t="str">
        <f>"111.67"</f>
        <v>111.67</v>
      </c>
      <c r="AJ105" s="10"/>
      <c r="AK105" s="10"/>
      <c r="AL105" s="10"/>
      <c r="AM105" s="10"/>
      <c r="AN105" s="10"/>
      <c r="AO105" s="10"/>
    </row>
    <row r="106" spans="1:41">
      <c r="A106" s="8">
        <v>104</v>
      </c>
      <c r="B106" s="8">
        <v>4341</v>
      </c>
      <c r="C106" s="8" t="s">
        <v>252</v>
      </c>
      <c r="D106" s="8" t="s">
        <v>23</v>
      </c>
      <c r="E106" s="2" t="str">
        <f>"90.75"</f>
        <v>90.75</v>
      </c>
      <c r="F106" s="9"/>
      <c r="G106" s="9">
        <v>2017</v>
      </c>
      <c r="H106" s="10" t="str">
        <f>"80.37"</f>
        <v>80.37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 t="str">
        <f>"97.85"</f>
        <v>97.85</v>
      </c>
      <c r="T106" s="10"/>
      <c r="U106" s="10"/>
      <c r="V106" s="10"/>
      <c r="W106" s="10"/>
      <c r="X106" s="10"/>
      <c r="Y106" s="10"/>
      <c r="Z106" s="10"/>
      <c r="AA106" s="10"/>
      <c r="AB106" s="10"/>
      <c r="AC106" s="10" t="str">
        <f>"86.28"</f>
        <v>86.28</v>
      </c>
      <c r="AD106" s="10" t="str">
        <f>"121.05"</f>
        <v>121.05</v>
      </c>
      <c r="AE106" s="10"/>
      <c r="AF106" s="10"/>
      <c r="AG106" s="10" t="str">
        <f>"95.21"</f>
        <v>95.21</v>
      </c>
      <c r="AH106" s="10"/>
      <c r="AI106" s="10"/>
      <c r="AJ106" s="10" t="str">
        <f>"126.12"</f>
        <v>126.12</v>
      </c>
      <c r="AK106" s="10"/>
      <c r="AL106" s="10" t="str">
        <f>"121.82"</f>
        <v>121.82</v>
      </c>
      <c r="AM106" s="10"/>
      <c r="AN106" s="10"/>
      <c r="AO106" s="10"/>
    </row>
    <row r="107" spans="1:41">
      <c r="A107" s="8">
        <v>105</v>
      </c>
      <c r="B107" s="8">
        <v>3523</v>
      </c>
      <c r="C107" s="8" t="s">
        <v>253</v>
      </c>
      <c r="D107" s="8" t="s">
        <v>254</v>
      </c>
      <c r="E107" s="2" t="str">
        <f>"91.97"</f>
        <v>91.97</v>
      </c>
      <c r="F107" s="9"/>
      <c r="G107" s="9">
        <v>2017</v>
      </c>
      <c r="H107" s="10" t="str">
        <f>"95.77"</f>
        <v>95.77</v>
      </c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 t="str">
        <f>"70.93"</f>
        <v>70.93</v>
      </c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 t="str">
        <f>"113.01"</f>
        <v>113.01</v>
      </c>
      <c r="AM107" s="10"/>
      <c r="AN107" s="10"/>
      <c r="AO107" s="10"/>
    </row>
    <row r="108" spans="1:41">
      <c r="A108" s="8">
        <v>106</v>
      </c>
      <c r="B108" s="8">
        <v>2557</v>
      </c>
      <c r="C108" s="8" t="s">
        <v>255</v>
      </c>
      <c r="D108" s="8" t="s">
        <v>102</v>
      </c>
      <c r="E108" s="2" t="str">
        <f>"92.67"</f>
        <v>92.67</v>
      </c>
      <c r="F108" s="9"/>
      <c r="G108" s="9">
        <v>2017</v>
      </c>
      <c r="H108" s="10" t="str">
        <f>"119.78"</f>
        <v>119.78</v>
      </c>
      <c r="I108" s="10"/>
      <c r="J108" s="10" t="str">
        <f>"101.38"</f>
        <v>101.38</v>
      </c>
      <c r="K108" s="10"/>
      <c r="L108" s="10" t="str">
        <f>"90.43"</f>
        <v>90.43</v>
      </c>
      <c r="M108" s="10"/>
      <c r="N108" s="10"/>
      <c r="O108" s="10"/>
      <c r="P108" s="10"/>
      <c r="Q108" s="10"/>
      <c r="R108" s="10"/>
      <c r="S108" s="10" t="str">
        <f>"94.90"</f>
        <v>94.90</v>
      </c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 t="str">
        <f>"119.70"</f>
        <v>119.70</v>
      </c>
      <c r="AK108" s="10"/>
      <c r="AL108" s="10"/>
      <c r="AM108" s="10"/>
      <c r="AN108" s="10"/>
      <c r="AO108" s="10"/>
    </row>
    <row r="109" spans="1:41">
      <c r="A109" s="8">
        <v>107</v>
      </c>
      <c r="B109" s="8">
        <v>8329</v>
      </c>
      <c r="C109" s="8" t="s">
        <v>256</v>
      </c>
      <c r="D109" s="8" t="s">
        <v>27</v>
      </c>
      <c r="E109" s="2" t="str">
        <f>"92.85"</f>
        <v>92.85</v>
      </c>
      <c r="F109" s="9" t="s">
        <v>11</v>
      </c>
      <c r="G109" s="9">
        <v>2017</v>
      </c>
      <c r="H109" s="10" t="str">
        <f>"64.48"</f>
        <v>64.48</v>
      </c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</row>
    <row r="110" spans="1:41">
      <c r="A110" s="8">
        <v>108</v>
      </c>
      <c r="B110" s="8">
        <v>11053</v>
      </c>
      <c r="C110" s="8" t="s">
        <v>257</v>
      </c>
      <c r="D110" s="8" t="s">
        <v>65</v>
      </c>
      <c r="E110" s="2" t="str">
        <f>"93.36"</f>
        <v>93.36</v>
      </c>
      <c r="F110" s="9"/>
      <c r="G110" s="9">
        <v>2017</v>
      </c>
      <c r="H110" s="10" t="str">
        <f>"97.14"</f>
        <v>97.14</v>
      </c>
      <c r="I110" s="10"/>
      <c r="J110" s="10"/>
      <c r="K110" s="10" t="str">
        <f>"121.29"</f>
        <v>121.29</v>
      </c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 t="str">
        <f>"86.45"</f>
        <v>86.45</v>
      </c>
      <c r="AK110" s="10"/>
      <c r="AL110" s="10" t="str">
        <f>"100.26"</f>
        <v>100.26</v>
      </c>
      <c r="AM110" s="10"/>
      <c r="AN110" s="10"/>
      <c r="AO110" s="10"/>
    </row>
    <row r="111" spans="1:41">
      <c r="A111" s="8">
        <v>109</v>
      </c>
      <c r="B111" s="8">
        <v>7050</v>
      </c>
      <c r="C111" s="8" t="s">
        <v>258</v>
      </c>
      <c r="D111" s="8" t="s">
        <v>92</v>
      </c>
      <c r="E111" s="2" t="str">
        <f>"93.61"</f>
        <v>93.61</v>
      </c>
      <c r="F111" s="9"/>
      <c r="G111" s="9">
        <v>2017</v>
      </c>
      <c r="H111" s="10" t="str">
        <f>"102.35"</f>
        <v>102.35</v>
      </c>
      <c r="I111" s="10"/>
      <c r="J111" s="10"/>
      <c r="K111" s="10"/>
      <c r="L111" s="10" t="str">
        <f>"81.06"</f>
        <v>81.06</v>
      </c>
      <c r="M111" s="10"/>
      <c r="N111" s="10"/>
      <c r="O111" s="10"/>
      <c r="P111" s="10"/>
      <c r="Q111" s="10"/>
      <c r="R111" s="10"/>
      <c r="S111" s="10" t="str">
        <f>"123.50"</f>
        <v>123.50</v>
      </c>
      <c r="T111" s="10"/>
      <c r="U111" s="10"/>
      <c r="V111" s="10"/>
      <c r="W111" s="10"/>
      <c r="X111" s="10"/>
      <c r="Y111" s="10"/>
      <c r="Z111" s="10"/>
      <c r="AA111" s="10"/>
      <c r="AB111" s="10"/>
      <c r="AC111" s="10" t="str">
        <f>"118.66"</f>
        <v>118.66</v>
      </c>
      <c r="AD111" s="10" t="str">
        <f>"118.65"</f>
        <v>118.65</v>
      </c>
      <c r="AE111" s="10"/>
      <c r="AF111" s="10"/>
      <c r="AG111" s="10" t="str">
        <f>"106.15"</f>
        <v>106.15</v>
      </c>
      <c r="AH111" s="10" t="str">
        <f>"134.59"</f>
        <v>134.59</v>
      </c>
      <c r="AI111" s="10"/>
      <c r="AJ111" s="10"/>
      <c r="AK111" s="10"/>
      <c r="AL111" s="10"/>
      <c r="AM111" s="10"/>
      <c r="AN111" s="10"/>
      <c r="AO111" s="10"/>
    </row>
    <row r="112" spans="1:41">
      <c r="A112" s="8">
        <v>110</v>
      </c>
      <c r="B112" s="8">
        <v>2491</v>
      </c>
      <c r="C112" s="8" t="s">
        <v>259</v>
      </c>
      <c r="D112" s="8" t="s">
        <v>51</v>
      </c>
      <c r="E112" s="2" t="str">
        <f>"93.72"</f>
        <v>93.72</v>
      </c>
      <c r="F112" s="9"/>
      <c r="G112" s="9">
        <v>2017</v>
      </c>
      <c r="H112" s="10" t="str">
        <f>"99.09"</f>
        <v>99.09</v>
      </c>
      <c r="I112" s="10"/>
      <c r="J112" s="10" t="str">
        <f>"85.37"</f>
        <v>85.37</v>
      </c>
      <c r="K112" s="10"/>
      <c r="L112" s="10" t="str">
        <f>"109.18"</f>
        <v>109.18</v>
      </c>
      <c r="M112" s="10" t="str">
        <f>"124.76"</f>
        <v>124.76</v>
      </c>
      <c r="N112" s="10"/>
      <c r="O112" s="10" t="str">
        <f>"123.87"</f>
        <v>123.87</v>
      </c>
      <c r="P112" s="10"/>
      <c r="Q112" s="10"/>
      <c r="R112" s="10"/>
      <c r="S112" s="10" t="str">
        <f>"138.50"</f>
        <v>138.50</v>
      </c>
      <c r="T112" s="10"/>
      <c r="U112" s="10"/>
      <c r="V112" s="10"/>
      <c r="W112" s="10"/>
      <c r="X112" s="10"/>
      <c r="Y112" s="10"/>
      <c r="Z112" s="10" t="str">
        <f>"102.06"</f>
        <v>102.06</v>
      </c>
      <c r="AA112" s="10"/>
      <c r="AB112" s="10"/>
      <c r="AC112" s="10" t="str">
        <f>"107.27"</f>
        <v>107.27</v>
      </c>
      <c r="AD112" s="10" t="str">
        <f>"142.01"</f>
        <v>142.01</v>
      </c>
      <c r="AE112" s="10"/>
      <c r="AF112" s="10"/>
      <c r="AG112" s="10"/>
      <c r="AH112" s="10" t="str">
        <f>"124.81"</f>
        <v>124.81</v>
      </c>
      <c r="AI112" s="10"/>
      <c r="AJ112" s="10"/>
      <c r="AK112" s="10"/>
      <c r="AL112" s="10"/>
      <c r="AM112" s="10"/>
      <c r="AN112" s="10"/>
      <c r="AO112" s="10"/>
    </row>
    <row r="113" spans="1:41">
      <c r="A113" s="8">
        <v>111</v>
      </c>
      <c r="B113" s="8">
        <v>1768</v>
      </c>
      <c r="C113" s="8" t="s">
        <v>260</v>
      </c>
      <c r="D113" s="8" t="s">
        <v>28</v>
      </c>
      <c r="E113" s="2" t="str">
        <f>"94.05"</f>
        <v>94.05</v>
      </c>
      <c r="F113" s="9"/>
      <c r="G113" s="9">
        <v>2017</v>
      </c>
      <c r="H113" s="10" t="str">
        <f>"73.40"</f>
        <v>73.40</v>
      </c>
      <c r="I113" s="10"/>
      <c r="J113" s="10" t="str">
        <f>"120.50"</f>
        <v>120.50</v>
      </c>
      <c r="K113" s="10"/>
      <c r="L113" s="10" t="str">
        <f>"91.53"</f>
        <v>91.53</v>
      </c>
      <c r="M113" s="10"/>
      <c r="N113" s="10"/>
      <c r="O113" s="10"/>
      <c r="P113" s="10"/>
      <c r="Q113" s="10"/>
      <c r="R113" s="10"/>
      <c r="S113" s="10" t="str">
        <f>"110.60"</f>
        <v>110.60</v>
      </c>
      <c r="T113" s="10"/>
      <c r="U113" s="10"/>
      <c r="V113" s="10"/>
      <c r="W113" s="10"/>
      <c r="X113" s="10"/>
      <c r="Y113" s="10"/>
      <c r="Z113" s="10"/>
      <c r="AA113" s="10" t="str">
        <f>"96.58"</f>
        <v>96.58</v>
      </c>
      <c r="AB113" s="10"/>
      <c r="AC113" s="10" t="str">
        <f>"103.87"</f>
        <v>103.87</v>
      </c>
      <c r="AD113" s="10" t="str">
        <f>"142.45"</f>
        <v>142.45</v>
      </c>
      <c r="AE113" s="10"/>
      <c r="AF113" s="10"/>
      <c r="AG113" s="10"/>
      <c r="AH113" s="10"/>
      <c r="AI113" s="10" t="str">
        <f>"96.57"</f>
        <v>96.57</v>
      </c>
      <c r="AJ113" s="10"/>
      <c r="AK113" s="10"/>
      <c r="AL113" s="10"/>
      <c r="AM113" s="10"/>
      <c r="AN113" s="10"/>
      <c r="AO113" s="10"/>
    </row>
    <row r="114" spans="1:41">
      <c r="A114" s="8">
        <v>112</v>
      </c>
      <c r="B114" s="8">
        <v>9961</v>
      </c>
      <c r="C114" s="8" t="s">
        <v>261</v>
      </c>
      <c r="D114" s="8" t="s">
        <v>19</v>
      </c>
      <c r="E114" s="2" t="str">
        <f>"94.67"</f>
        <v>94.67</v>
      </c>
      <c r="F114" s="9"/>
      <c r="G114" s="9">
        <v>2017</v>
      </c>
      <c r="H114" s="10" t="str">
        <f>"249.48"</f>
        <v>249.48</v>
      </c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 t="str">
        <f>"95.86"</f>
        <v>95.86</v>
      </c>
      <c r="W114" s="10"/>
      <c r="X114" s="10"/>
      <c r="Y114" s="10" t="str">
        <f>"116.65"</f>
        <v>116.65</v>
      </c>
      <c r="Z114" s="10"/>
      <c r="AA114" s="10"/>
      <c r="AB114" s="10" t="str">
        <f>"127.44"</f>
        <v>127.44</v>
      </c>
      <c r="AC114" s="10" t="str">
        <f>"93.47"</f>
        <v>93.47</v>
      </c>
      <c r="AD114" s="10" t="str">
        <f>"109.70"</f>
        <v>109.70</v>
      </c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</row>
    <row r="115" spans="1:41">
      <c r="A115" s="8">
        <v>113</v>
      </c>
      <c r="B115" s="8">
        <v>2915</v>
      </c>
      <c r="C115" s="8" t="s">
        <v>262</v>
      </c>
      <c r="D115" s="8" t="s">
        <v>20</v>
      </c>
      <c r="E115" s="2" t="str">
        <f>"94.99"</f>
        <v>94.99</v>
      </c>
      <c r="F115" s="9"/>
      <c r="G115" s="9">
        <v>2017</v>
      </c>
      <c r="H115" s="10" t="str">
        <f>"131.53"</f>
        <v>131.53</v>
      </c>
      <c r="I115" s="10"/>
      <c r="J115" s="10"/>
      <c r="K115" s="10"/>
      <c r="L115" s="10"/>
      <c r="M115" s="10" t="str">
        <f>"94.17"</f>
        <v>94.17</v>
      </c>
      <c r="N115" s="10"/>
      <c r="O115" s="10" t="str">
        <f>"95.81"</f>
        <v>95.81</v>
      </c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 t="str">
        <f>"133.45"</f>
        <v>133.45</v>
      </c>
      <c r="AM115" s="10"/>
      <c r="AN115" s="10"/>
      <c r="AO115" s="10"/>
    </row>
    <row r="116" spans="1:41">
      <c r="A116" s="8">
        <v>114</v>
      </c>
      <c r="B116" s="8">
        <v>4030</v>
      </c>
      <c r="C116" s="8" t="s">
        <v>263</v>
      </c>
      <c r="D116" s="8" t="s">
        <v>12</v>
      </c>
      <c r="E116" s="2" t="str">
        <f>"95.13"</f>
        <v>95.13</v>
      </c>
      <c r="F116" s="9"/>
      <c r="G116" s="9">
        <v>2017</v>
      </c>
      <c r="H116" s="10" t="str">
        <f>"84.63"</f>
        <v>84.63</v>
      </c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 t="str">
        <f>"122.66"</f>
        <v>122.66</v>
      </c>
      <c r="AD116" s="10" t="str">
        <f>"113.19"</f>
        <v>113.19</v>
      </c>
      <c r="AE116" s="10"/>
      <c r="AF116" s="10"/>
      <c r="AG116" s="10" t="str">
        <f>"77.06"</f>
        <v>77.06</v>
      </c>
      <c r="AH116" s="10" t="str">
        <f>"122.95"</f>
        <v>122.95</v>
      </c>
      <c r="AI116" s="10"/>
      <c r="AJ116" s="10"/>
      <c r="AK116" s="10"/>
      <c r="AL116" s="10"/>
      <c r="AM116" s="10"/>
      <c r="AN116" s="10"/>
      <c r="AO116" s="10"/>
    </row>
    <row r="117" spans="1:41">
      <c r="A117" s="8">
        <v>115</v>
      </c>
      <c r="B117" s="8">
        <v>9214</v>
      </c>
      <c r="C117" s="8" t="s">
        <v>264</v>
      </c>
      <c r="D117" s="8" t="s">
        <v>58</v>
      </c>
      <c r="E117" s="2" t="str">
        <f>"95.43"</f>
        <v>95.43</v>
      </c>
      <c r="F117" s="9"/>
      <c r="G117" s="9">
        <v>2017</v>
      </c>
      <c r="H117" s="10" t="str">
        <f>"113.22"</f>
        <v>113.22</v>
      </c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 t="str">
        <f>"111.27"</f>
        <v>111.27</v>
      </c>
      <c r="AD117" s="10" t="str">
        <f>"136.55"</f>
        <v>136.55</v>
      </c>
      <c r="AE117" s="10"/>
      <c r="AF117" s="10"/>
      <c r="AG117" s="10" t="str">
        <f>"79.59"</f>
        <v>79.59</v>
      </c>
      <c r="AH117" s="10"/>
      <c r="AI117" s="10"/>
      <c r="AJ117" s="10"/>
      <c r="AK117" s="10"/>
      <c r="AL117" s="10"/>
      <c r="AM117" s="10"/>
      <c r="AN117" s="10"/>
      <c r="AO117" s="10"/>
    </row>
    <row r="118" spans="1:41">
      <c r="A118" s="8">
        <v>116</v>
      </c>
      <c r="B118" s="8">
        <v>1899</v>
      </c>
      <c r="C118" s="8" t="s">
        <v>265</v>
      </c>
      <c r="D118" s="8" t="s">
        <v>33</v>
      </c>
      <c r="E118" s="2" t="str">
        <f>"95.51"</f>
        <v>95.51</v>
      </c>
      <c r="F118" s="9"/>
      <c r="G118" s="9">
        <v>2017</v>
      </c>
      <c r="H118" s="10" t="str">
        <f>"157.06"</f>
        <v>157.06</v>
      </c>
      <c r="I118" s="10"/>
      <c r="J118" s="10" t="str">
        <f>"101.13"</f>
        <v>101.13</v>
      </c>
      <c r="K118" s="10"/>
      <c r="L118" s="10" t="str">
        <f>"89.88"</f>
        <v>89.88</v>
      </c>
      <c r="M118" s="10"/>
      <c r="N118" s="10"/>
      <c r="O118" s="10"/>
      <c r="P118" s="10"/>
      <c r="Q118" s="10"/>
      <c r="R118" s="10"/>
      <c r="S118" s="10" t="str">
        <f>"101.91"</f>
        <v>101.91</v>
      </c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</row>
    <row r="119" spans="1:41">
      <c r="A119" s="8">
        <v>117</v>
      </c>
      <c r="B119" s="8">
        <v>1820</v>
      </c>
      <c r="C119" s="8" t="s">
        <v>266</v>
      </c>
      <c r="D119" s="8" t="s">
        <v>65</v>
      </c>
      <c r="E119" s="2" t="str">
        <f>"96.55"</f>
        <v>96.55</v>
      </c>
      <c r="F119" s="9"/>
      <c r="G119" s="9">
        <v>2017</v>
      </c>
      <c r="H119" s="10" t="str">
        <f>"115.39"</f>
        <v>115.39</v>
      </c>
      <c r="I119" s="10" t="str">
        <f>"98.09"</f>
        <v>98.09</v>
      </c>
      <c r="J119" s="10"/>
      <c r="K119" s="10" t="str">
        <f>"95.00"</f>
        <v>95.00</v>
      </c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 t="str">
        <f>"121.46"</f>
        <v>121.46</v>
      </c>
      <c r="AD119" s="10" t="str">
        <f>"112.76"</f>
        <v>112.76</v>
      </c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</row>
    <row r="120" spans="1:41">
      <c r="A120" s="8">
        <v>118</v>
      </c>
      <c r="B120" s="8">
        <v>7815</v>
      </c>
      <c r="C120" s="8" t="s">
        <v>267</v>
      </c>
      <c r="D120" s="8" t="s">
        <v>19</v>
      </c>
      <c r="E120" s="2" t="str">
        <f>"97.06"</f>
        <v>97.06</v>
      </c>
      <c r="F120" s="9"/>
      <c r="G120" s="9">
        <v>2017</v>
      </c>
      <c r="H120" s="10" t="str">
        <f>"158.77"</f>
        <v>158.77</v>
      </c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 t="str">
        <f>"111.39"</f>
        <v>111.39</v>
      </c>
      <c r="W120" s="10"/>
      <c r="X120" s="10"/>
      <c r="Y120" s="10"/>
      <c r="Z120" s="10"/>
      <c r="AA120" s="10"/>
      <c r="AB120" s="10" t="str">
        <f>"155.10"</f>
        <v>155.10</v>
      </c>
      <c r="AC120" s="10"/>
      <c r="AD120" s="10"/>
      <c r="AE120" s="10"/>
      <c r="AF120" s="10"/>
      <c r="AG120" s="10"/>
      <c r="AH120" s="10"/>
      <c r="AI120" s="10"/>
      <c r="AJ120" s="10" t="str">
        <f>"82.72"</f>
        <v>82.72</v>
      </c>
      <c r="AK120" s="10"/>
      <c r="AL120" s="10" t="str">
        <f>"113.39"</f>
        <v>113.39</v>
      </c>
      <c r="AM120" s="10"/>
      <c r="AN120" s="10"/>
      <c r="AO120" s="10"/>
    </row>
    <row r="121" spans="1:41">
      <c r="A121" s="8">
        <v>119</v>
      </c>
      <c r="B121" s="8">
        <v>412</v>
      </c>
      <c r="C121" s="8" t="s">
        <v>268</v>
      </c>
      <c r="D121" s="8" t="s">
        <v>54</v>
      </c>
      <c r="E121" s="2" t="str">
        <f>"97.35"</f>
        <v>97.35</v>
      </c>
      <c r="F121" s="9"/>
      <c r="G121" s="9">
        <v>2017</v>
      </c>
      <c r="H121" s="10" t="str">
        <f>"118.63"</f>
        <v>118.63</v>
      </c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 t="str">
        <f>"140.60"</f>
        <v>140.60</v>
      </c>
      <c r="T121" s="10"/>
      <c r="U121" s="10"/>
      <c r="V121" s="10"/>
      <c r="W121" s="10"/>
      <c r="X121" s="10"/>
      <c r="Y121" s="10"/>
      <c r="Z121" s="10" t="str">
        <f>"125.84"</f>
        <v>125.84</v>
      </c>
      <c r="AA121" s="10"/>
      <c r="AB121" s="10"/>
      <c r="AC121" s="10" t="str">
        <f>"89.07"</f>
        <v>89.07</v>
      </c>
      <c r="AD121" s="10" t="str">
        <f>"110.79"</f>
        <v>110.79</v>
      </c>
      <c r="AE121" s="10"/>
      <c r="AF121" s="10"/>
      <c r="AG121" s="10"/>
      <c r="AH121" s="10" t="str">
        <f>"150.19"</f>
        <v>150.19</v>
      </c>
      <c r="AI121" s="10" t="str">
        <f>"105.63"</f>
        <v>105.63</v>
      </c>
      <c r="AJ121" s="10" t="str">
        <f>"133.87"</f>
        <v>133.87</v>
      </c>
      <c r="AK121" s="10"/>
      <c r="AL121" s="10"/>
      <c r="AM121" s="10"/>
      <c r="AN121" s="10"/>
      <c r="AO121" s="10"/>
    </row>
    <row r="122" spans="1:41">
      <c r="A122" s="8">
        <v>120</v>
      </c>
      <c r="B122" s="8">
        <v>10409</v>
      </c>
      <c r="C122" s="8" t="s">
        <v>269</v>
      </c>
      <c r="D122" s="8" t="s">
        <v>10</v>
      </c>
      <c r="E122" s="2" t="str">
        <f>"98.09"</f>
        <v>98.09</v>
      </c>
      <c r="F122" s="9"/>
      <c r="G122" s="9">
        <v>2017</v>
      </c>
      <c r="H122" s="10" t="str">
        <f>"170.59"</f>
        <v>170.59</v>
      </c>
      <c r="I122" s="10" t="str">
        <f>"100.79"</f>
        <v>100.79</v>
      </c>
      <c r="J122" s="10"/>
      <c r="K122" s="10" t="str">
        <f>"118.00"</f>
        <v>118.00</v>
      </c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 t="str">
        <f>"184.06"</f>
        <v>184.06</v>
      </c>
      <c r="AC122" s="10"/>
      <c r="AD122" s="10" t="str">
        <f>"126.07"</f>
        <v>126.07</v>
      </c>
      <c r="AE122" s="10"/>
      <c r="AF122" s="10"/>
      <c r="AG122" s="10"/>
      <c r="AH122" s="10"/>
      <c r="AI122" s="10" t="str">
        <f>"95.39"</f>
        <v>95.39</v>
      </c>
      <c r="AJ122" s="10"/>
      <c r="AK122" s="10"/>
      <c r="AL122" s="10"/>
      <c r="AM122" s="10"/>
      <c r="AN122" s="10"/>
      <c r="AO122" s="10" t="str">
        <f>"149.37"</f>
        <v>149.37</v>
      </c>
    </row>
    <row r="123" spans="1:41">
      <c r="A123" s="8">
        <v>121</v>
      </c>
      <c r="B123" s="8">
        <v>3120</v>
      </c>
      <c r="C123" s="8" t="s">
        <v>270</v>
      </c>
      <c r="D123" s="8" t="s">
        <v>8</v>
      </c>
      <c r="E123" s="2" t="str">
        <f>"98.24"</f>
        <v>98.24</v>
      </c>
      <c r="F123" s="9" t="s">
        <v>11</v>
      </c>
      <c r="G123" s="9">
        <v>2017</v>
      </c>
      <c r="H123" s="10" t="str">
        <f>"68.22"</f>
        <v>68.22</v>
      </c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</row>
    <row r="124" spans="1:41">
      <c r="A124" s="8">
        <v>122</v>
      </c>
      <c r="B124" s="8">
        <v>10950</v>
      </c>
      <c r="C124" s="8" t="s">
        <v>271</v>
      </c>
      <c r="D124" s="8" t="s">
        <v>272</v>
      </c>
      <c r="E124" s="2" t="str">
        <f>"98.83"</f>
        <v>98.83</v>
      </c>
      <c r="F124" s="9"/>
      <c r="G124" s="9">
        <v>2017</v>
      </c>
      <c r="H124" s="10" t="str">
        <f>"100.23"</f>
        <v>100.23</v>
      </c>
      <c r="I124" s="10"/>
      <c r="J124" s="10"/>
      <c r="K124" s="10"/>
      <c r="L124" s="10"/>
      <c r="M124" s="10" t="str">
        <f>"109.08"</f>
        <v>109.08</v>
      </c>
      <c r="N124" s="10"/>
      <c r="O124" s="10" t="str">
        <f>"110.50"</f>
        <v>110.50</v>
      </c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 t="str">
        <f>"92.52"</f>
        <v>92.52</v>
      </c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 t="str">
        <f>"105.14"</f>
        <v>105.14</v>
      </c>
      <c r="AM124" s="10"/>
      <c r="AN124" s="10"/>
      <c r="AO124" s="10"/>
    </row>
    <row r="125" spans="1:41">
      <c r="A125" s="8">
        <v>123</v>
      </c>
      <c r="B125" s="8">
        <v>8494</v>
      </c>
      <c r="C125" s="8" t="s">
        <v>273</v>
      </c>
      <c r="D125" s="8" t="s">
        <v>10</v>
      </c>
      <c r="E125" s="2" t="str">
        <f>"98.87"</f>
        <v>98.87</v>
      </c>
      <c r="F125" s="9"/>
      <c r="G125" s="9">
        <v>2017</v>
      </c>
      <c r="H125" s="10" t="str">
        <f>"118.76"</f>
        <v>118.76</v>
      </c>
      <c r="I125" s="10" t="str">
        <f>"131.60"</f>
        <v>131.60</v>
      </c>
      <c r="J125" s="10"/>
      <c r="K125" s="10" t="str">
        <f>"113.07"</f>
        <v>113.07</v>
      </c>
      <c r="L125" s="10"/>
      <c r="M125" s="10"/>
      <c r="N125" s="10"/>
      <c r="O125" s="10"/>
      <c r="P125" s="10"/>
      <c r="Q125" s="10"/>
      <c r="R125" s="10"/>
      <c r="S125" s="10" t="str">
        <f>"84.67"</f>
        <v>84.67</v>
      </c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 t="str">
        <f>"278.08"</f>
        <v>278.08</v>
      </c>
      <c r="AG125" s="10"/>
      <c r="AH125" s="10"/>
      <c r="AI125" s="10" t="str">
        <f>"113.52"</f>
        <v>113.52</v>
      </c>
      <c r="AJ125" s="10"/>
      <c r="AK125" s="10"/>
      <c r="AL125" s="10"/>
      <c r="AM125" s="10"/>
      <c r="AN125" s="10"/>
      <c r="AO125" s="10"/>
    </row>
    <row r="126" spans="1:41">
      <c r="A126" s="8">
        <v>124</v>
      </c>
      <c r="B126" s="8">
        <v>8310</v>
      </c>
      <c r="C126" s="8" t="s">
        <v>274</v>
      </c>
      <c r="D126" s="8" t="s">
        <v>275</v>
      </c>
      <c r="E126" s="2" t="str">
        <f>"98.93"</f>
        <v>98.93</v>
      </c>
      <c r="F126" s="9"/>
      <c r="G126" s="9">
        <v>2017</v>
      </c>
      <c r="H126" s="10" t="str">
        <f>"101.82"</f>
        <v>101.82</v>
      </c>
      <c r="I126" s="10"/>
      <c r="J126" s="10" t="str">
        <f>"102.68"</f>
        <v>102.68</v>
      </c>
      <c r="K126" s="10"/>
      <c r="L126" s="10" t="str">
        <f>"119.52"</f>
        <v>119.52</v>
      </c>
      <c r="M126" s="10"/>
      <c r="N126" s="10"/>
      <c r="O126" s="10"/>
      <c r="P126" s="10"/>
      <c r="Q126" s="10"/>
      <c r="R126" s="10"/>
      <c r="S126" s="10"/>
      <c r="T126" s="10" t="str">
        <f>"95.18"</f>
        <v>95.18</v>
      </c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 t="str">
        <f>"119.23"</f>
        <v>119.23</v>
      </c>
      <c r="AL126" s="10"/>
      <c r="AM126" s="10"/>
      <c r="AN126" s="10"/>
      <c r="AO126" s="10"/>
    </row>
    <row r="127" spans="1:41">
      <c r="A127" s="8">
        <v>125</v>
      </c>
      <c r="B127" s="8">
        <v>146</v>
      </c>
      <c r="C127" s="8" t="s">
        <v>276</v>
      </c>
      <c r="D127" s="8" t="s">
        <v>18</v>
      </c>
      <c r="E127" s="2" t="str">
        <f>"99.60"</f>
        <v>99.60</v>
      </c>
      <c r="F127" s="9"/>
      <c r="G127" s="9">
        <v>2017</v>
      </c>
      <c r="H127" s="10" t="str">
        <f>"106.88"</f>
        <v>106.88</v>
      </c>
      <c r="I127" s="10" t="str">
        <f>"101.46"</f>
        <v>101.46</v>
      </c>
      <c r="J127" s="10"/>
      <c r="K127" s="10" t="str">
        <f>"97.74"</f>
        <v>97.74</v>
      </c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</row>
    <row r="128" spans="1:41">
      <c r="A128" s="8">
        <v>126</v>
      </c>
      <c r="B128" s="8">
        <v>10334</v>
      </c>
      <c r="C128" s="8" t="s">
        <v>277</v>
      </c>
      <c r="D128" s="8" t="s">
        <v>19</v>
      </c>
      <c r="E128" s="2" t="str">
        <f>"99.65"</f>
        <v>99.65</v>
      </c>
      <c r="F128" s="9"/>
      <c r="G128" s="9">
        <v>2017</v>
      </c>
      <c r="H128" s="10" t="str">
        <f>"131.05"</f>
        <v>131.05</v>
      </c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 t="str">
        <f>"96.40"</f>
        <v>96.40</v>
      </c>
      <c r="W128" s="10"/>
      <c r="X128" s="10"/>
      <c r="Y128" s="10" t="str">
        <f>"102.90"</f>
        <v>102.90</v>
      </c>
      <c r="Z128" s="10"/>
      <c r="AA128" s="10"/>
      <c r="AB128" s="10" t="str">
        <f>"122.98"</f>
        <v>122.98</v>
      </c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</row>
    <row r="129" spans="1:41">
      <c r="A129" s="8">
        <v>127</v>
      </c>
      <c r="B129" s="8">
        <v>5726</v>
      </c>
      <c r="C129" s="8" t="s">
        <v>278</v>
      </c>
      <c r="D129" s="8" t="s">
        <v>19</v>
      </c>
      <c r="E129" s="2" t="str">
        <f>"99.98"</f>
        <v>99.98</v>
      </c>
      <c r="F129" s="9"/>
      <c r="G129" s="9">
        <v>2017</v>
      </c>
      <c r="H129" s="10" t="str">
        <f>"112.31"</f>
        <v>112.31</v>
      </c>
      <c r="I129" s="10" t="str">
        <f>"105.90"</f>
        <v>105.90</v>
      </c>
      <c r="J129" s="10"/>
      <c r="K129" s="10" t="str">
        <f>"105.27"</f>
        <v>105.27</v>
      </c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 t="str">
        <f>"98.66"</f>
        <v>98.66</v>
      </c>
      <c r="W129" s="10"/>
      <c r="X129" s="10"/>
      <c r="Y129" s="10" t="str">
        <f>"101.29"</f>
        <v>101.29</v>
      </c>
      <c r="Z129" s="10"/>
      <c r="AA129" s="10"/>
      <c r="AB129" s="10" t="str">
        <f>"139.69"</f>
        <v>139.69</v>
      </c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</row>
    <row r="130" spans="1:41">
      <c r="A130" s="8">
        <v>128</v>
      </c>
      <c r="B130" s="8">
        <v>5247</v>
      </c>
      <c r="C130" s="8" t="s">
        <v>279</v>
      </c>
      <c r="D130" s="8" t="s">
        <v>33</v>
      </c>
      <c r="E130" s="2" t="str">
        <f>"100.07"</f>
        <v>100.07</v>
      </c>
      <c r="F130" s="9"/>
      <c r="G130" s="9">
        <v>2017</v>
      </c>
      <c r="H130" s="10" t="str">
        <f>"125.26"</f>
        <v>125.26</v>
      </c>
      <c r="I130" s="10"/>
      <c r="J130" s="10"/>
      <c r="K130" s="10"/>
      <c r="L130" s="10"/>
      <c r="M130" s="10" t="str">
        <f>"109.55"</f>
        <v>109.55</v>
      </c>
      <c r="N130" s="10"/>
      <c r="O130" s="10" t="str">
        <f>"103.24"</f>
        <v>103.24</v>
      </c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 t="str">
        <f>"96.90"</f>
        <v>96.90</v>
      </c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</row>
    <row r="131" spans="1:41">
      <c r="A131" s="8">
        <v>129</v>
      </c>
      <c r="B131" s="8">
        <v>1848</v>
      </c>
      <c r="C131" s="8" t="s">
        <v>280</v>
      </c>
      <c r="D131" s="8" t="s">
        <v>15</v>
      </c>
      <c r="E131" s="2" t="str">
        <f>"100.36"</f>
        <v>100.36</v>
      </c>
      <c r="F131" s="9"/>
      <c r="G131" s="9">
        <v>2017</v>
      </c>
      <c r="H131" s="10" t="str">
        <f>"120.43"</f>
        <v>120.43</v>
      </c>
      <c r="I131" s="10"/>
      <c r="J131" s="10" t="str">
        <f>"100.09"</f>
        <v>100.09</v>
      </c>
      <c r="K131" s="10"/>
      <c r="L131" s="10" t="str">
        <f>"100.63"</f>
        <v>100.63</v>
      </c>
      <c r="M131" s="10"/>
      <c r="N131" s="10"/>
      <c r="O131" s="10"/>
      <c r="P131" s="10"/>
      <c r="Q131" s="10"/>
      <c r="R131" s="10"/>
      <c r="S131" s="10" t="str">
        <f>"163.87"</f>
        <v>163.87</v>
      </c>
      <c r="T131" s="10"/>
      <c r="U131" s="10"/>
      <c r="V131" s="10"/>
      <c r="W131" s="10"/>
      <c r="X131" s="10"/>
      <c r="Y131" s="10"/>
      <c r="Z131" s="10"/>
      <c r="AA131" s="10"/>
      <c r="AB131" s="10"/>
      <c r="AC131" s="10" t="str">
        <f>"147.65"</f>
        <v>147.65</v>
      </c>
      <c r="AD131" s="10" t="str">
        <f>"133.50"</f>
        <v>133.50</v>
      </c>
      <c r="AE131" s="10"/>
      <c r="AF131" s="10"/>
      <c r="AG131" s="10" t="str">
        <f>"129.77"</f>
        <v>129.77</v>
      </c>
      <c r="AH131" s="10"/>
      <c r="AI131" s="10" t="str">
        <f>"128.62"</f>
        <v>128.62</v>
      </c>
      <c r="AJ131" s="10"/>
      <c r="AK131" s="10"/>
      <c r="AL131" s="10"/>
      <c r="AM131" s="10"/>
      <c r="AN131" s="10"/>
      <c r="AO131" s="10"/>
    </row>
    <row r="132" spans="1:41">
      <c r="A132" s="8">
        <v>130</v>
      </c>
      <c r="B132" s="8">
        <v>6967</v>
      </c>
      <c r="C132" s="8" t="s">
        <v>281</v>
      </c>
      <c r="D132" s="8" t="s">
        <v>84</v>
      </c>
      <c r="E132" s="2" t="str">
        <f>"100.37"</f>
        <v>100.37</v>
      </c>
      <c r="F132" s="9"/>
      <c r="G132" s="9">
        <v>2017</v>
      </c>
      <c r="H132" s="10" t="str">
        <f>"84.49"</f>
        <v>84.49</v>
      </c>
      <c r="I132" s="10"/>
      <c r="J132" s="10" t="str">
        <f>"118.17"</f>
        <v>118.17</v>
      </c>
      <c r="K132" s="10"/>
      <c r="L132" s="10" t="str">
        <f>"102.15"</f>
        <v>102.15</v>
      </c>
      <c r="M132" s="10"/>
      <c r="N132" s="10"/>
      <c r="O132" s="10"/>
      <c r="P132" s="10"/>
      <c r="Q132" s="10"/>
      <c r="R132" s="10"/>
      <c r="S132" s="10" t="str">
        <f>"175.09"</f>
        <v>175.09</v>
      </c>
      <c r="T132" s="10"/>
      <c r="U132" s="10"/>
      <c r="V132" s="10"/>
      <c r="W132" s="10"/>
      <c r="X132" s="10"/>
      <c r="Y132" s="10"/>
      <c r="Z132" s="10"/>
      <c r="AA132" s="10"/>
      <c r="AB132" s="10"/>
      <c r="AC132" s="10" t="str">
        <f>"110.07"</f>
        <v>110.07</v>
      </c>
      <c r="AD132" s="10" t="str">
        <f>"144.63"</f>
        <v>144.63</v>
      </c>
      <c r="AE132" s="10"/>
      <c r="AF132" s="10"/>
      <c r="AG132" s="10"/>
      <c r="AH132" s="10"/>
      <c r="AI132" s="10" t="str">
        <f>"98.58"</f>
        <v>98.58</v>
      </c>
      <c r="AJ132" s="10"/>
      <c r="AK132" s="10"/>
      <c r="AL132" s="10"/>
      <c r="AM132" s="10"/>
      <c r="AN132" s="10"/>
      <c r="AO132" s="10"/>
    </row>
    <row r="133" spans="1:41">
      <c r="A133" s="8">
        <v>131</v>
      </c>
      <c r="B133" s="8">
        <v>10223</v>
      </c>
      <c r="C133" s="8" t="s">
        <v>282</v>
      </c>
      <c r="D133" s="8" t="s">
        <v>78</v>
      </c>
      <c r="E133" s="2" t="str">
        <f>"100.76"</f>
        <v>100.76</v>
      </c>
      <c r="F133" s="9"/>
      <c r="G133" s="9">
        <v>2017</v>
      </c>
      <c r="H133" s="10" t="str">
        <f>"156.26"</f>
        <v>156.26</v>
      </c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 t="str">
        <f>"103.67"</f>
        <v>103.67</v>
      </c>
      <c r="AD133" s="10" t="str">
        <f>"126.73"</f>
        <v>126.73</v>
      </c>
      <c r="AE133" s="10"/>
      <c r="AF133" s="10"/>
      <c r="AG133" s="10" t="str">
        <f>"97.85"</f>
        <v>97.85</v>
      </c>
      <c r="AH133" s="10" t="str">
        <f>"137.01"</f>
        <v>137.01</v>
      </c>
      <c r="AI133" s="10"/>
      <c r="AJ133" s="10"/>
      <c r="AK133" s="10"/>
      <c r="AL133" s="10"/>
      <c r="AM133" s="10"/>
      <c r="AN133" s="10"/>
      <c r="AO133" s="10"/>
    </row>
    <row r="134" spans="1:41">
      <c r="A134" s="8">
        <v>132</v>
      </c>
      <c r="B134" s="8">
        <v>10351</v>
      </c>
      <c r="C134" s="8" t="s">
        <v>283</v>
      </c>
      <c r="D134" s="8" t="s">
        <v>38</v>
      </c>
      <c r="E134" s="2" t="str">
        <f>"100.96"</f>
        <v>100.96</v>
      </c>
      <c r="F134" s="9" t="s">
        <v>9</v>
      </c>
      <c r="G134" s="9">
        <v>2017</v>
      </c>
      <c r="H134" s="10" t="str">
        <f>"132.17"</f>
        <v>132.17</v>
      </c>
      <c r="I134" s="10" t="str">
        <f>"70.11"</f>
        <v>70.11</v>
      </c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</row>
    <row r="135" spans="1:41">
      <c r="A135" s="8">
        <v>133</v>
      </c>
      <c r="B135" s="8">
        <v>10272</v>
      </c>
      <c r="C135" s="8" t="s">
        <v>284</v>
      </c>
      <c r="D135" s="8" t="s">
        <v>14</v>
      </c>
      <c r="E135" s="2" t="str">
        <f>"101.03"</f>
        <v>101.03</v>
      </c>
      <c r="F135" s="9" t="s">
        <v>11</v>
      </c>
      <c r="G135" s="9">
        <v>2017</v>
      </c>
      <c r="H135" s="10" t="str">
        <f>"70.16"</f>
        <v>70.16</v>
      </c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</row>
    <row r="136" spans="1:41">
      <c r="A136" s="8">
        <v>134</v>
      </c>
      <c r="B136" s="8">
        <v>6535</v>
      </c>
      <c r="C136" s="8" t="s">
        <v>285</v>
      </c>
      <c r="D136" s="8" t="s">
        <v>286</v>
      </c>
      <c r="E136" s="2" t="str">
        <f>"101.10"</f>
        <v>101.10</v>
      </c>
      <c r="F136" s="9"/>
      <c r="G136" s="9">
        <v>2017</v>
      </c>
      <c r="H136" s="10" t="str">
        <f>"82.90"</f>
        <v>82.90</v>
      </c>
      <c r="I136" s="10"/>
      <c r="J136" s="10" t="str">
        <f>"86.40"</f>
        <v>86.40</v>
      </c>
      <c r="K136" s="10"/>
      <c r="L136" s="10"/>
      <c r="M136" s="10"/>
      <c r="N136" s="10"/>
      <c r="O136" s="10"/>
      <c r="P136" s="10"/>
      <c r="Q136" s="10"/>
      <c r="R136" s="10"/>
      <c r="S136" s="10" t="str">
        <f>"115.79"</f>
        <v>115.79</v>
      </c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</row>
    <row r="137" spans="1:41">
      <c r="A137" s="8">
        <v>135</v>
      </c>
      <c r="B137" s="8">
        <v>1880</v>
      </c>
      <c r="C137" s="8" t="s">
        <v>287</v>
      </c>
      <c r="D137" s="8" t="s">
        <v>288</v>
      </c>
      <c r="E137" s="2" t="str">
        <f>"101.30"</f>
        <v>101.30</v>
      </c>
      <c r="F137" s="9"/>
      <c r="G137" s="9">
        <v>2017</v>
      </c>
      <c r="H137" s="10" t="str">
        <f>"120.32"</f>
        <v>120.32</v>
      </c>
      <c r="I137" s="10"/>
      <c r="J137" s="10" t="str">
        <f>"96.99"</f>
        <v>96.99</v>
      </c>
      <c r="K137" s="10"/>
      <c r="L137" s="10" t="str">
        <f>"105.60"</f>
        <v>105.60</v>
      </c>
      <c r="M137" s="10"/>
      <c r="N137" s="10"/>
      <c r="O137" s="10"/>
      <c r="P137" s="10"/>
      <c r="Q137" s="10"/>
      <c r="R137" s="10"/>
      <c r="S137" s="10" t="str">
        <f>"174.52"</f>
        <v>174.52</v>
      </c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</row>
    <row r="138" spans="1:41">
      <c r="A138" s="8">
        <v>136</v>
      </c>
      <c r="B138" s="8">
        <v>2453</v>
      </c>
      <c r="C138" s="8" t="s">
        <v>289</v>
      </c>
      <c r="D138" s="8" t="s">
        <v>72</v>
      </c>
      <c r="E138" s="2" t="str">
        <f>"102.40"</f>
        <v>102.40</v>
      </c>
      <c r="F138" s="9" t="s">
        <v>11</v>
      </c>
      <c r="G138" s="9">
        <v>2017</v>
      </c>
      <c r="H138" s="10" t="str">
        <f>"71.11"</f>
        <v>71.11</v>
      </c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</row>
    <row r="139" spans="1:41">
      <c r="A139" s="8">
        <v>137</v>
      </c>
      <c r="B139" s="8">
        <v>3655</v>
      </c>
      <c r="C139" s="8" t="s">
        <v>290</v>
      </c>
      <c r="D139" s="8" t="s">
        <v>12</v>
      </c>
      <c r="E139" s="2" t="str">
        <f>"102.43"</f>
        <v>102.43</v>
      </c>
      <c r="F139" s="9"/>
      <c r="G139" s="9">
        <v>2017</v>
      </c>
      <c r="H139" s="10" t="str">
        <f>"198.91"</f>
        <v>198.91</v>
      </c>
      <c r="I139" s="10"/>
      <c r="J139" s="10"/>
      <c r="K139" s="10"/>
      <c r="L139" s="10"/>
      <c r="M139" s="10" t="str">
        <f>"101.86"</f>
        <v>101.86</v>
      </c>
      <c r="N139" s="10"/>
      <c r="O139" s="10" t="str">
        <f>"138.89"</f>
        <v>138.89</v>
      </c>
      <c r="P139" s="10"/>
      <c r="Q139" s="10"/>
      <c r="R139" s="10"/>
      <c r="S139" s="10" t="str">
        <f>"194.71"</f>
        <v>194.71</v>
      </c>
      <c r="T139" s="10"/>
      <c r="U139" s="10"/>
      <c r="V139" s="10"/>
      <c r="W139" s="10"/>
      <c r="X139" s="10"/>
      <c r="Y139" s="10"/>
      <c r="Z139" s="10" t="str">
        <f>"103.00"</f>
        <v>103.00</v>
      </c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</row>
    <row r="140" spans="1:41">
      <c r="A140" s="8">
        <v>138</v>
      </c>
      <c r="B140" s="8">
        <v>10355</v>
      </c>
      <c r="C140" s="8" t="s">
        <v>291</v>
      </c>
      <c r="D140" s="8" t="s">
        <v>292</v>
      </c>
      <c r="E140" s="2" t="str">
        <f>"102.90"</f>
        <v>102.90</v>
      </c>
      <c r="F140" s="9"/>
      <c r="G140" s="9">
        <v>2017</v>
      </c>
      <c r="H140" s="10" t="str">
        <f>"116.28"</f>
        <v>116.28</v>
      </c>
      <c r="I140" s="10"/>
      <c r="J140" s="10" t="str">
        <f>"121.27"</f>
        <v>121.27</v>
      </c>
      <c r="K140" s="10"/>
      <c r="L140" s="10" t="str">
        <f>"120.62"</f>
        <v>120.62</v>
      </c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 t="str">
        <f>"85.17"</f>
        <v>85.17</v>
      </c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</row>
    <row r="141" spans="1:41">
      <c r="A141" s="8">
        <v>139</v>
      </c>
      <c r="B141" s="8">
        <v>4858</v>
      </c>
      <c r="C141" s="8" t="s">
        <v>293</v>
      </c>
      <c r="D141" s="8" t="s">
        <v>294</v>
      </c>
      <c r="E141" s="2" t="str">
        <f>"103.29"</f>
        <v>103.29</v>
      </c>
      <c r="F141" s="9"/>
      <c r="G141" s="9">
        <v>2017</v>
      </c>
      <c r="H141" s="10" t="str">
        <f>"178.85"</f>
        <v>178.85</v>
      </c>
      <c r="I141" s="10"/>
      <c r="J141" s="10"/>
      <c r="K141" s="10"/>
      <c r="L141" s="10"/>
      <c r="M141" s="10" t="str">
        <f>"100.45"</f>
        <v>100.45</v>
      </c>
      <c r="N141" s="10"/>
      <c r="O141" s="10" t="str">
        <f>"117.76"</f>
        <v>117.76</v>
      </c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 t="str">
        <f>"106.13"</f>
        <v>106.13</v>
      </c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</row>
    <row r="142" spans="1:41">
      <c r="A142" s="8">
        <v>140</v>
      </c>
      <c r="B142" s="8">
        <v>3405</v>
      </c>
      <c r="C142" s="8" t="s">
        <v>295</v>
      </c>
      <c r="D142" s="8" t="s">
        <v>21</v>
      </c>
      <c r="E142" s="2" t="str">
        <f>"104.86"</f>
        <v>104.86</v>
      </c>
      <c r="F142" s="9"/>
      <c r="G142" s="9">
        <v>2017</v>
      </c>
      <c r="H142" s="10" t="str">
        <f>"101.16"</f>
        <v>101.16</v>
      </c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 t="str">
        <f>"113.69"</f>
        <v>113.69</v>
      </c>
      <c r="T142" s="10"/>
      <c r="U142" s="10"/>
      <c r="V142" s="10"/>
      <c r="W142" s="10"/>
      <c r="X142" s="10"/>
      <c r="Y142" s="10"/>
      <c r="Z142" s="10" t="str">
        <f>"104.25"</f>
        <v>104.25</v>
      </c>
      <c r="AA142" s="10"/>
      <c r="AB142" s="10"/>
      <c r="AC142" s="10"/>
      <c r="AD142" s="10"/>
      <c r="AE142" s="10"/>
      <c r="AF142" s="10"/>
      <c r="AG142" s="10"/>
      <c r="AH142" s="10"/>
      <c r="AI142" s="10" t="str">
        <f>"105.46"</f>
        <v>105.46</v>
      </c>
      <c r="AJ142" s="10" t="str">
        <f>"121.05"</f>
        <v>121.05</v>
      </c>
      <c r="AK142" s="10"/>
      <c r="AL142" s="10"/>
      <c r="AM142" s="10"/>
      <c r="AN142" s="10"/>
      <c r="AO142" s="10"/>
    </row>
    <row r="143" spans="1:41">
      <c r="A143" s="8">
        <v>141</v>
      </c>
      <c r="B143" s="8">
        <v>7177</v>
      </c>
      <c r="C143" s="8" t="s">
        <v>296</v>
      </c>
      <c r="D143" s="8" t="s">
        <v>42</v>
      </c>
      <c r="E143" s="2" t="str">
        <f>"105.11"</f>
        <v>105.11</v>
      </c>
      <c r="F143" s="9"/>
      <c r="G143" s="9">
        <v>2017</v>
      </c>
      <c r="H143" s="10" t="str">
        <f>"113.23"</f>
        <v>113.23</v>
      </c>
      <c r="I143" s="10"/>
      <c r="J143" s="10" t="str">
        <f>"117.27"</f>
        <v>117.27</v>
      </c>
      <c r="K143" s="10"/>
      <c r="L143" s="10" t="str">
        <f>"114.97"</f>
        <v>114.97</v>
      </c>
      <c r="M143" s="10"/>
      <c r="N143" s="10"/>
      <c r="O143" s="10"/>
      <c r="P143" s="10"/>
      <c r="Q143" s="10"/>
      <c r="R143" s="10"/>
      <c r="S143" s="10" t="str">
        <f>"138.78"</f>
        <v>138.78</v>
      </c>
      <c r="T143" s="10"/>
      <c r="U143" s="10"/>
      <c r="V143" s="10"/>
      <c r="W143" s="10"/>
      <c r="X143" s="10"/>
      <c r="Y143" s="10"/>
      <c r="Z143" s="10" t="str">
        <f>"142.26"</f>
        <v>142.26</v>
      </c>
      <c r="AA143" s="10"/>
      <c r="AB143" s="10"/>
      <c r="AC143" s="10" t="str">
        <f>"140.45"</f>
        <v>140.45</v>
      </c>
      <c r="AD143" s="10" t="str">
        <f>"134.81"</f>
        <v>134.81</v>
      </c>
      <c r="AE143" s="10"/>
      <c r="AF143" s="10"/>
      <c r="AG143" s="10" t="str">
        <f>"96.19"</f>
        <v>96.19</v>
      </c>
      <c r="AH143" s="10" t="str">
        <f>"198.52"</f>
        <v>198.52</v>
      </c>
      <c r="AI143" s="10" t="str">
        <f>"114.02"</f>
        <v>114.02</v>
      </c>
      <c r="AJ143" s="10"/>
      <c r="AK143" s="10"/>
      <c r="AL143" s="10" t="str">
        <f>"184.63"</f>
        <v>184.63</v>
      </c>
      <c r="AM143" s="10"/>
      <c r="AN143" s="10"/>
      <c r="AO143" s="10"/>
    </row>
    <row r="144" spans="1:41">
      <c r="A144" s="8">
        <v>142</v>
      </c>
      <c r="B144" s="8">
        <v>3414</v>
      </c>
      <c r="C144" s="8" t="s">
        <v>297</v>
      </c>
      <c r="D144" s="8" t="s">
        <v>57</v>
      </c>
      <c r="E144" s="2" t="str">
        <f>"105.53"</f>
        <v>105.53</v>
      </c>
      <c r="F144" s="9"/>
      <c r="G144" s="9">
        <v>2017</v>
      </c>
      <c r="H144" s="10" t="str">
        <f>"121.72"</f>
        <v>121.72</v>
      </c>
      <c r="I144" s="10"/>
      <c r="J144" s="10" t="str">
        <f>"109.00"</f>
        <v>109.00</v>
      </c>
      <c r="K144" s="10"/>
      <c r="L144" s="10" t="str">
        <f>"133.17"</f>
        <v>133.17</v>
      </c>
      <c r="M144" s="10" t="str">
        <f>"156.45"</f>
        <v>156.45</v>
      </c>
      <c r="N144" s="10"/>
      <c r="O144" s="10" t="str">
        <f>"139.22"</f>
        <v>139.22</v>
      </c>
      <c r="P144" s="10"/>
      <c r="Q144" s="10"/>
      <c r="R144" s="10"/>
      <c r="S144" s="10" t="str">
        <f>"146.63"</f>
        <v>146.63</v>
      </c>
      <c r="T144" s="10"/>
      <c r="U144" s="10"/>
      <c r="V144" s="10"/>
      <c r="W144" s="10"/>
      <c r="X144" s="10"/>
      <c r="Y144" s="10"/>
      <c r="Z144" s="10" t="str">
        <f>"102.06"</f>
        <v>102.06</v>
      </c>
      <c r="AA144" s="10"/>
      <c r="AB144" s="10"/>
      <c r="AC144" s="10" t="str">
        <f>"168.04"</f>
        <v>168.04</v>
      </c>
      <c r="AD144" s="10"/>
      <c r="AE144" s="10"/>
      <c r="AF144" s="10"/>
      <c r="AG144" s="10"/>
      <c r="AH144" s="10" t="str">
        <f>"198.85"</f>
        <v>198.85</v>
      </c>
      <c r="AI144" s="10" t="str">
        <f>"144.06"</f>
        <v>144.06</v>
      </c>
      <c r="AJ144" s="10" t="str">
        <f>"114.49"</f>
        <v>114.49</v>
      </c>
      <c r="AK144" s="10"/>
      <c r="AL144" s="10" t="str">
        <f>"160.26"</f>
        <v>160.26</v>
      </c>
      <c r="AM144" s="10"/>
      <c r="AN144" s="10"/>
      <c r="AO144" s="10"/>
    </row>
    <row r="145" spans="1:41">
      <c r="A145" s="8">
        <v>143</v>
      </c>
      <c r="B145" s="8">
        <v>4409</v>
      </c>
      <c r="C145" s="8" t="s">
        <v>298</v>
      </c>
      <c r="D145" s="8" t="s">
        <v>14</v>
      </c>
      <c r="E145" s="2" t="str">
        <f>"105.86"</f>
        <v>105.86</v>
      </c>
      <c r="F145" s="9"/>
      <c r="G145" s="9">
        <v>2017</v>
      </c>
      <c r="H145" s="10" t="str">
        <f>"138.48"</f>
        <v>138.48</v>
      </c>
      <c r="I145" s="10" t="str">
        <f>"106.03"</f>
        <v>106.03</v>
      </c>
      <c r="J145" s="10"/>
      <c r="K145" s="10" t="str">
        <f>"105.68"</f>
        <v>105.68</v>
      </c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</row>
    <row r="146" spans="1:41">
      <c r="A146" s="8">
        <v>144</v>
      </c>
      <c r="B146" s="8">
        <v>2847</v>
      </c>
      <c r="C146" s="8" t="s">
        <v>299</v>
      </c>
      <c r="D146" s="8" t="s">
        <v>92</v>
      </c>
      <c r="E146" s="2" t="str">
        <f>"106.15"</f>
        <v>106.15</v>
      </c>
      <c r="F146" s="9"/>
      <c r="G146" s="9">
        <v>2017</v>
      </c>
      <c r="H146" s="10" t="str">
        <f>"78.47"</f>
        <v>78.47</v>
      </c>
      <c r="I146" s="10"/>
      <c r="J146" s="10" t="str">
        <f>"100.35"</f>
        <v>100.35</v>
      </c>
      <c r="K146" s="10"/>
      <c r="L146" s="10" t="str">
        <f>"111.94"</f>
        <v>111.94</v>
      </c>
      <c r="M146" s="10"/>
      <c r="N146" s="10"/>
      <c r="O146" s="10"/>
      <c r="P146" s="10"/>
      <c r="Q146" s="10"/>
      <c r="R146" s="10"/>
      <c r="S146" s="10" t="str">
        <f>"125.46"</f>
        <v>125.46</v>
      </c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</row>
    <row r="147" spans="1:41">
      <c r="A147" s="8">
        <v>145</v>
      </c>
      <c r="B147" s="8">
        <v>141</v>
      </c>
      <c r="C147" s="8" t="s">
        <v>300</v>
      </c>
      <c r="D147" s="8" t="s">
        <v>27</v>
      </c>
      <c r="E147" s="2" t="str">
        <f>"106.48"</f>
        <v>106.48</v>
      </c>
      <c r="F147" s="9"/>
      <c r="G147" s="9">
        <v>2017</v>
      </c>
      <c r="H147" s="10" t="str">
        <f>"120.32"</f>
        <v>120.32</v>
      </c>
      <c r="I147" s="10"/>
      <c r="J147" s="10"/>
      <c r="K147" s="10"/>
      <c r="L147" s="10"/>
      <c r="M147" s="10" t="str">
        <f>"113.94"</f>
        <v>113.94</v>
      </c>
      <c r="N147" s="10"/>
      <c r="O147" s="10" t="str">
        <f>"111.65"</f>
        <v>111.65</v>
      </c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 t="str">
        <f>"106.91"</f>
        <v>106.91</v>
      </c>
      <c r="AA147" s="10"/>
      <c r="AB147" s="10"/>
      <c r="AC147" s="10"/>
      <c r="AD147" s="10"/>
      <c r="AE147" s="10"/>
      <c r="AF147" s="10"/>
      <c r="AG147" s="10" t="str">
        <f>"106.05"</f>
        <v>106.05</v>
      </c>
      <c r="AH147" s="10"/>
      <c r="AI147" s="10"/>
      <c r="AJ147" s="10"/>
      <c r="AK147" s="10"/>
      <c r="AL147" s="10" t="str">
        <f>"150.14"</f>
        <v>150.14</v>
      </c>
      <c r="AM147" s="10"/>
      <c r="AN147" s="10"/>
      <c r="AO147" s="10"/>
    </row>
    <row r="148" spans="1:41">
      <c r="A148" s="8">
        <v>146</v>
      </c>
      <c r="B148" s="8">
        <v>11084</v>
      </c>
      <c r="C148" s="8" t="s">
        <v>301</v>
      </c>
      <c r="D148" s="8" t="s">
        <v>302</v>
      </c>
      <c r="E148" s="2" t="str">
        <f>"107.16"</f>
        <v>107.16</v>
      </c>
      <c r="F148" s="9"/>
      <c r="G148" s="9">
        <v>2017</v>
      </c>
      <c r="H148" s="10" t="str">
        <f>"111.74"</f>
        <v>111.74</v>
      </c>
      <c r="I148" s="10"/>
      <c r="J148" s="10"/>
      <c r="K148" s="10"/>
      <c r="L148" s="10"/>
      <c r="M148" s="10"/>
      <c r="N148" s="10" t="str">
        <f>"98.77"</f>
        <v>98.77</v>
      </c>
      <c r="O148" s="10"/>
      <c r="P148" s="10" t="str">
        <f>"115.55"</f>
        <v>115.55</v>
      </c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</row>
    <row r="149" spans="1:41">
      <c r="A149" s="8">
        <v>147</v>
      </c>
      <c r="B149" s="8">
        <v>3987</v>
      </c>
      <c r="C149" s="8" t="s">
        <v>303</v>
      </c>
      <c r="D149" s="8" t="s">
        <v>24</v>
      </c>
      <c r="E149" s="2" t="str">
        <f>"107.18"</f>
        <v>107.18</v>
      </c>
      <c r="F149" s="9"/>
      <c r="G149" s="9">
        <v>2017</v>
      </c>
      <c r="H149" s="10" t="str">
        <f>"99.93"</f>
        <v>99.93</v>
      </c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 t="str">
        <f>"110.74"</f>
        <v>110.74</v>
      </c>
      <c r="T149" s="10"/>
      <c r="U149" s="10"/>
      <c r="V149" s="10"/>
      <c r="W149" s="10"/>
      <c r="X149" s="10"/>
      <c r="Y149" s="10"/>
      <c r="Z149" s="10"/>
      <c r="AA149" s="10"/>
      <c r="AB149" s="10"/>
      <c r="AC149" s="10" t="str">
        <f>"129.26"</f>
        <v>129.26</v>
      </c>
      <c r="AD149" s="10" t="str">
        <f>"159.48"</f>
        <v>159.48</v>
      </c>
      <c r="AE149" s="10"/>
      <c r="AF149" s="10"/>
      <c r="AG149" s="10" t="str">
        <f>"103.61"</f>
        <v>103.61</v>
      </c>
      <c r="AH149" s="10" t="str">
        <f>"156.45"</f>
        <v>156.45</v>
      </c>
      <c r="AI149" s="10" t="str">
        <f>"113.85"</f>
        <v>113.85</v>
      </c>
      <c r="AJ149" s="10"/>
      <c r="AK149" s="10"/>
      <c r="AL149" s="10"/>
      <c r="AM149" s="10"/>
      <c r="AN149" s="10"/>
      <c r="AO149" s="10"/>
    </row>
    <row r="150" spans="1:41">
      <c r="A150" s="8">
        <v>148</v>
      </c>
      <c r="B150" s="8">
        <v>8103</v>
      </c>
      <c r="C150" s="8" t="s">
        <v>304</v>
      </c>
      <c r="D150" s="8" t="s">
        <v>29</v>
      </c>
      <c r="E150" s="2" t="str">
        <f>"107.61"</f>
        <v>107.61</v>
      </c>
      <c r="F150" s="9"/>
      <c r="G150" s="9">
        <v>2017</v>
      </c>
      <c r="H150" s="10" t="str">
        <f>"116.89"</f>
        <v>116.89</v>
      </c>
      <c r="I150" s="10"/>
      <c r="J150" s="10" t="str">
        <f>"141.94"</f>
        <v>141.94</v>
      </c>
      <c r="K150" s="10"/>
      <c r="L150" s="10" t="str">
        <f>"136.34"</f>
        <v>136.34</v>
      </c>
      <c r="M150" s="10"/>
      <c r="N150" s="10"/>
      <c r="O150" s="10"/>
      <c r="P150" s="10"/>
      <c r="Q150" s="10"/>
      <c r="R150" s="10"/>
      <c r="S150" s="10" t="str">
        <f>"138.50"</f>
        <v>138.50</v>
      </c>
      <c r="T150" s="10"/>
      <c r="U150" s="10"/>
      <c r="V150" s="10"/>
      <c r="W150" s="10"/>
      <c r="X150" s="10"/>
      <c r="Y150" s="10"/>
      <c r="Z150" s="10"/>
      <c r="AA150" s="10"/>
      <c r="AB150" s="10"/>
      <c r="AC150" s="10" t="str">
        <f>"125.66"</f>
        <v>125.66</v>
      </c>
      <c r="AD150" s="10" t="str">
        <f>"133.93"</f>
        <v>133.93</v>
      </c>
      <c r="AE150" s="10"/>
      <c r="AF150" s="10"/>
      <c r="AG150" s="10" t="str">
        <f>"89.55"</f>
        <v>89.55</v>
      </c>
      <c r="AH150" s="10" t="str">
        <f>"172.48"</f>
        <v>172.48</v>
      </c>
      <c r="AI150" s="10" t="str">
        <f>"148.59"</f>
        <v>148.59</v>
      </c>
      <c r="AJ150" s="10"/>
      <c r="AK150" s="10"/>
      <c r="AL150" s="10"/>
      <c r="AM150" s="10"/>
      <c r="AN150" s="10"/>
      <c r="AO150" s="10"/>
    </row>
    <row r="151" spans="1:41">
      <c r="A151" s="8">
        <v>149</v>
      </c>
      <c r="B151" s="8">
        <v>10299</v>
      </c>
      <c r="C151" s="8" t="s">
        <v>305</v>
      </c>
      <c r="D151" s="8" t="s">
        <v>25</v>
      </c>
      <c r="E151" s="2" t="str">
        <f>"108.05"</f>
        <v>108.05</v>
      </c>
      <c r="F151" s="9"/>
      <c r="G151" s="9">
        <v>2017</v>
      </c>
      <c r="H151" s="10" t="str">
        <f>"196.76"</f>
        <v>196.76</v>
      </c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 t="str">
        <f>"84.47"</f>
        <v>84.47</v>
      </c>
      <c r="AH151" s="10" t="str">
        <f>"131.62"</f>
        <v>131.62</v>
      </c>
      <c r="AI151" s="10"/>
      <c r="AJ151" s="10"/>
      <c r="AK151" s="10"/>
      <c r="AL151" s="10" t="str">
        <f>"147.89"</f>
        <v>147.89</v>
      </c>
      <c r="AM151" s="10"/>
      <c r="AN151" s="10"/>
      <c r="AO151" s="10"/>
    </row>
    <row r="152" spans="1:41">
      <c r="A152" s="8">
        <v>150</v>
      </c>
      <c r="B152" s="8">
        <v>1435</v>
      </c>
      <c r="C152" s="8" t="s">
        <v>306</v>
      </c>
      <c r="D152" s="8" t="s">
        <v>21</v>
      </c>
      <c r="E152" s="2" t="str">
        <f>"109.17"</f>
        <v>109.17</v>
      </c>
      <c r="F152" s="9"/>
      <c r="G152" s="9">
        <v>2017</v>
      </c>
      <c r="H152" s="10" t="str">
        <f>"133.92"</f>
        <v>133.92</v>
      </c>
      <c r="I152" s="10"/>
      <c r="J152" s="10"/>
      <c r="K152" s="10"/>
      <c r="L152" s="10"/>
      <c r="M152" s="10" t="str">
        <f>"145.47"</f>
        <v>145.47</v>
      </c>
      <c r="N152" s="10"/>
      <c r="O152" s="10" t="str">
        <f>"147.64"</f>
        <v>147.64</v>
      </c>
      <c r="P152" s="10"/>
      <c r="Q152" s="10"/>
      <c r="R152" s="10"/>
      <c r="S152" s="10" t="str">
        <f>"191.77"</f>
        <v>191.77</v>
      </c>
      <c r="T152" s="10"/>
      <c r="U152" s="10"/>
      <c r="V152" s="10"/>
      <c r="W152" s="10"/>
      <c r="X152" s="10"/>
      <c r="Y152" s="10"/>
      <c r="Z152" s="10" t="str">
        <f>"96.27"</f>
        <v>96.27</v>
      </c>
      <c r="AA152" s="10"/>
      <c r="AB152" s="10"/>
      <c r="AC152" s="10" t="str">
        <f>"130.26"</f>
        <v>130.26</v>
      </c>
      <c r="AD152" s="10" t="str">
        <f>"157.29"</f>
        <v>157.29</v>
      </c>
      <c r="AE152" s="10"/>
      <c r="AF152" s="10"/>
      <c r="AG152" s="10" t="str">
        <f>"122.06"</f>
        <v>122.06</v>
      </c>
      <c r="AH152" s="10" t="str">
        <f>"179.29"</f>
        <v>179.29</v>
      </c>
      <c r="AI152" s="10" t="str">
        <f>"128.45"</f>
        <v>128.45</v>
      </c>
      <c r="AJ152" s="10"/>
      <c r="AK152" s="10"/>
      <c r="AL152" s="10" t="str">
        <f>"151.45"</f>
        <v>151.45</v>
      </c>
      <c r="AM152" s="10"/>
      <c r="AN152" s="10"/>
      <c r="AO152" s="10"/>
    </row>
    <row r="153" spans="1:41">
      <c r="A153" s="8">
        <v>151</v>
      </c>
      <c r="B153" s="8">
        <v>6863</v>
      </c>
      <c r="C153" s="8" t="s">
        <v>307</v>
      </c>
      <c r="D153" s="8" t="s">
        <v>10</v>
      </c>
      <c r="E153" s="2" t="str">
        <f>"109.26"</f>
        <v>109.26</v>
      </c>
      <c r="F153" s="9"/>
      <c r="G153" s="9">
        <v>2017</v>
      </c>
      <c r="H153" s="10" t="str">
        <f>"174.04"</f>
        <v>174.04</v>
      </c>
      <c r="I153" s="10" t="str">
        <f>"108.32"</f>
        <v>108.32</v>
      </c>
      <c r="J153" s="10"/>
      <c r="K153" s="10" t="str">
        <f>"110.20"</f>
        <v>110.20</v>
      </c>
      <c r="L153" s="10"/>
      <c r="M153" s="10"/>
      <c r="N153" s="10"/>
      <c r="O153" s="10"/>
      <c r="P153" s="10"/>
      <c r="Q153" s="10"/>
      <c r="R153" s="10" t="str">
        <f>"149.07"</f>
        <v>149.07</v>
      </c>
      <c r="S153" s="10" t="str">
        <f>"126.02"</f>
        <v>126.02</v>
      </c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 t="str">
        <f>"116.05"</f>
        <v>116.05</v>
      </c>
      <c r="AG153" s="10"/>
      <c r="AH153" s="10"/>
      <c r="AI153" s="10"/>
      <c r="AJ153" s="10"/>
      <c r="AK153" s="10"/>
      <c r="AL153" s="10" t="str">
        <f>"139.07"</f>
        <v>139.07</v>
      </c>
      <c r="AM153" s="10"/>
      <c r="AN153" s="10"/>
      <c r="AO153" s="10" t="str">
        <f>"126.37"</f>
        <v>126.37</v>
      </c>
    </row>
    <row r="154" spans="1:41">
      <c r="A154" s="8">
        <v>152</v>
      </c>
      <c r="B154" s="8">
        <v>11081</v>
      </c>
      <c r="C154" s="8" t="s">
        <v>308</v>
      </c>
      <c r="D154" s="8" t="s">
        <v>51</v>
      </c>
      <c r="E154" s="2" t="str">
        <f>"109.41"</f>
        <v>109.41</v>
      </c>
      <c r="F154" s="9" t="s">
        <v>9</v>
      </c>
      <c r="G154" s="9">
        <v>2017</v>
      </c>
      <c r="H154" s="10" t="str">
        <f>"169.29"</f>
        <v>169.29</v>
      </c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 t="str">
        <f>"75.98"</f>
        <v>75.98</v>
      </c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</row>
    <row r="155" spans="1:41">
      <c r="A155" s="8">
        <v>153</v>
      </c>
      <c r="B155" s="8">
        <v>1879</v>
      </c>
      <c r="C155" s="8" t="s">
        <v>309</v>
      </c>
      <c r="D155" s="8" t="s">
        <v>43</v>
      </c>
      <c r="E155" s="2" t="str">
        <f>"109.45"</f>
        <v>109.45</v>
      </c>
      <c r="F155" s="9"/>
      <c r="G155" s="9">
        <v>2017</v>
      </c>
      <c r="H155" s="10" t="str">
        <f>"167.28"</f>
        <v>167.28</v>
      </c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 t="str">
        <f>"197.09"</f>
        <v>197.09</v>
      </c>
      <c r="T155" s="10"/>
      <c r="U155" s="10"/>
      <c r="V155" s="10"/>
      <c r="W155" s="10"/>
      <c r="X155" s="10"/>
      <c r="Y155" s="10"/>
      <c r="Z155" s="10" t="str">
        <f>"133.03"</f>
        <v>133.03</v>
      </c>
      <c r="AA155" s="10"/>
      <c r="AB155" s="10"/>
      <c r="AC155" s="10"/>
      <c r="AD155" s="10"/>
      <c r="AE155" s="10"/>
      <c r="AF155" s="10"/>
      <c r="AG155" s="10"/>
      <c r="AH155" s="10"/>
      <c r="AI155" s="10" t="str">
        <f>"150.61"</f>
        <v>150.61</v>
      </c>
      <c r="AJ155" s="10" t="str">
        <f>"85.86"</f>
        <v>85.86</v>
      </c>
      <c r="AK155" s="10"/>
      <c r="AL155" s="10"/>
      <c r="AM155" s="10"/>
      <c r="AN155" s="10"/>
      <c r="AO155" s="10"/>
    </row>
    <row r="156" spans="1:41">
      <c r="A156" s="8">
        <v>154</v>
      </c>
      <c r="B156" s="8">
        <v>1230</v>
      </c>
      <c r="C156" s="8" t="s">
        <v>310</v>
      </c>
      <c r="D156" s="8" t="s">
        <v>311</v>
      </c>
      <c r="E156" s="2" t="str">
        <f>"109.50"</f>
        <v>109.50</v>
      </c>
      <c r="F156" s="9"/>
      <c r="G156" s="9">
        <v>2017</v>
      </c>
      <c r="H156" s="10" t="str">
        <f>"155.55"</f>
        <v>155.55</v>
      </c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 t="str">
        <f>"127.86"</f>
        <v>127.86</v>
      </c>
      <c r="AD156" s="10" t="str">
        <f>"125.64"</f>
        <v>125.64</v>
      </c>
      <c r="AE156" s="10"/>
      <c r="AF156" s="10"/>
      <c r="AG156" s="10"/>
      <c r="AH156" s="10"/>
      <c r="AI156" s="10" t="str">
        <f>"112.17"</f>
        <v>112.17</v>
      </c>
      <c r="AJ156" s="10"/>
      <c r="AK156" s="10"/>
      <c r="AL156" s="10" t="str">
        <f>"106.83"</f>
        <v>106.83</v>
      </c>
      <c r="AM156" s="10"/>
      <c r="AN156" s="10"/>
      <c r="AO156" s="10"/>
    </row>
    <row r="157" spans="1:41">
      <c r="A157" s="8">
        <v>155</v>
      </c>
      <c r="B157" s="8">
        <v>5478</v>
      </c>
      <c r="C157" s="8" t="s">
        <v>312</v>
      </c>
      <c r="D157" s="8" t="s">
        <v>19</v>
      </c>
      <c r="E157" s="2" t="str">
        <f>"110.76"</f>
        <v>110.76</v>
      </c>
      <c r="F157" s="9"/>
      <c r="G157" s="9">
        <v>2017</v>
      </c>
      <c r="H157" s="10" t="str">
        <f>"177.38"</f>
        <v>177.38</v>
      </c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 t="str">
        <f>"122.77"</f>
        <v>122.77</v>
      </c>
      <c r="W157" s="10"/>
      <c r="X157" s="10"/>
      <c r="Y157" s="10"/>
      <c r="Z157" s="10"/>
      <c r="AA157" s="10"/>
      <c r="AB157" s="10" t="str">
        <f>"168.09"</f>
        <v>168.09</v>
      </c>
      <c r="AC157" s="10" t="str">
        <f>"139.05"</f>
        <v>139.05</v>
      </c>
      <c r="AD157" s="10" t="str">
        <f>"168.86"</f>
        <v>168.86</v>
      </c>
      <c r="AE157" s="10"/>
      <c r="AF157" s="10"/>
      <c r="AG157" s="10"/>
      <c r="AH157" s="10"/>
      <c r="AI157" s="10" t="str">
        <f>"98.75"</f>
        <v>98.75</v>
      </c>
      <c r="AJ157" s="10"/>
      <c r="AK157" s="10"/>
      <c r="AL157" s="10"/>
      <c r="AM157" s="10"/>
      <c r="AN157" s="10"/>
      <c r="AO157" s="10"/>
    </row>
    <row r="158" spans="1:41">
      <c r="A158" s="8">
        <v>156</v>
      </c>
      <c r="B158" s="8">
        <v>600</v>
      </c>
      <c r="C158" s="8" t="s">
        <v>313</v>
      </c>
      <c r="D158" s="8" t="s">
        <v>55</v>
      </c>
      <c r="E158" s="2" t="str">
        <f>"110.84"</f>
        <v>110.84</v>
      </c>
      <c r="F158" s="9"/>
      <c r="G158" s="9">
        <v>2017</v>
      </c>
      <c r="H158" s="10" t="str">
        <f>"117.13"</f>
        <v>117.13</v>
      </c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 t="str">
        <f>"204.80"</f>
        <v>204.80</v>
      </c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 t="str">
        <f>"79.50"</f>
        <v>79.50</v>
      </c>
      <c r="AH158" s="10" t="str">
        <f>"142.17"</f>
        <v>142.17</v>
      </c>
      <c r="AI158" s="10"/>
      <c r="AJ158" s="10"/>
      <c r="AK158" s="10"/>
      <c r="AL158" s="10"/>
      <c r="AM158" s="10"/>
      <c r="AN158" s="10"/>
      <c r="AO158" s="10"/>
    </row>
    <row r="159" spans="1:41">
      <c r="A159" s="8">
        <v>157</v>
      </c>
      <c r="B159" s="8">
        <v>8478</v>
      </c>
      <c r="C159" s="8" t="s">
        <v>314</v>
      </c>
      <c r="D159" s="8" t="s">
        <v>10</v>
      </c>
      <c r="E159" s="2" t="str">
        <f>"111.99"</f>
        <v>111.99</v>
      </c>
      <c r="F159" s="9" t="s">
        <v>11</v>
      </c>
      <c r="G159" s="9">
        <v>2017</v>
      </c>
      <c r="H159" s="10" t="str">
        <f>"77.77"</f>
        <v>77.77</v>
      </c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</row>
    <row r="160" spans="1:41">
      <c r="A160" s="8">
        <v>158</v>
      </c>
      <c r="B160" s="8">
        <v>10703</v>
      </c>
      <c r="C160" s="8" t="s">
        <v>315</v>
      </c>
      <c r="D160" s="8" t="s">
        <v>19</v>
      </c>
      <c r="E160" s="2" t="str">
        <f>"112.62"</f>
        <v>112.62</v>
      </c>
      <c r="F160" s="9"/>
      <c r="G160" s="9">
        <v>2017</v>
      </c>
      <c r="H160" s="10" t="str">
        <f>"154.15"</f>
        <v>154.15</v>
      </c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 t="str">
        <f>"202.00"</f>
        <v>202.00</v>
      </c>
      <c r="T160" s="10"/>
      <c r="U160" s="10"/>
      <c r="V160" s="10" t="str">
        <f>"128.10"</f>
        <v>128.10</v>
      </c>
      <c r="W160" s="10"/>
      <c r="X160" s="10"/>
      <c r="Y160" s="10" t="str">
        <f>"141.21"</f>
        <v>141.21</v>
      </c>
      <c r="Z160" s="10"/>
      <c r="AA160" s="10"/>
      <c r="AB160" s="10" t="str">
        <f>"143.96"</f>
        <v>143.96</v>
      </c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 t="str">
        <f>"97.13"</f>
        <v>97.13</v>
      </c>
    </row>
    <row r="161" spans="1:41">
      <c r="A161" s="8">
        <v>159</v>
      </c>
      <c r="B161" s="8">
        <v>1740</v>
      </c>
      <c r="C161" s="8" t="s">
        <v>316</v>
      </c>
      <c r="D161" s="8" t="s">
        <v>68</v>
      </c>
      <c r="E161" s="2" t="str">
        <f>"112.88"</f>
        <v>112.88</v>
      </c>
      <c r="F161" s="9"/>
      <c r="G161" s="9">
        <v>2017</v>
      </c>
      <c r="H161" s="10" t="str">
        <f>"109.23"</f>
        <v>109.23</v>
      </c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 t="str">
        <f>"132.89"</f>
        <v>132.89</v>
      </c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 t="str">
        <f>"92.86"</f>
        <v>92.86</v>
      </c>
      <c r="AK161" s="10"/>
      <c r="AL161" s="10" t="str">
        <f>"135.14"</f>
        <v>135.14</v>
      </c>
      <c r="AM161" s="10"/>
      <c r="AN161" s="10"/>
      <c r="AO161" s="10"/>
    </row>
    <row r="162" spans="1:41">
      <c r="A162" s="8">
        <v>160</v>
      </c>
      <c r="B162" s="8">
        <v>8778</v>
      </c>
      <c r="C162" s="8" t="s">
        <v>317</v>
      </c>
      <c r="D162" s="8" t="s">
        <v>15</v>
      </c>
      <c r="E162" s="2" t="str">
        <f>"113.63"</f>
        <v>113.63</v>
      </c>
      <c r="F162" s="9"/>
      <c r="G162" s="9">
        <v>2017</v>
      </c>
      <c r="H162" s="10"/>
      <c r="I162" s="10"/>
      <c r="J162" s="10"/>
      <c r="K162" s="10"/>
      <c r="L162" s="10"/>
      <c r="M162" s="10"/>
      <c r="N162" s="10" t="str">
        <f>"106.45"</f>
        <v>106.45</v>
      </c>
      <c r="O162" s="10"/>
      <c r="P162" s="10" t="str">
        <f>"120.81"</f>
        <v>120.81</v>
      </c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</row>
    <row r="163" spans="1:41">
      <c r="A163" s="8">
        <v>161</v>
      </c>
      <c r="B163" s="8">
        <v>9752</v>
      </c>
      <c r="C163" s="8" t="s">
        <v>318</v>
      </c>
      <c r="D163" s="8" t="s">
        <v>319</v>
      </c>
      <c r="E163" s="2" t="str">
        <f>"113.73"</f>
        <v>113.73</v>
      </c>
      <c r="F163" s="9"/>
      <c r="G163" s="9">
        <v>2017</v>
      </c>
      <c r="H163" s="10" t="str">
        <f>"120.12"</f>
        <v>120.12</v>
      </c>
      <c r="I163" s="10"/>
      <c r="J163" s="10" t="str">
        <f>"128.63"</f>
        <v>128.63</v>
      </c>
      <c r="K163" s="10"/>
      <c r="L163" s="10" t="str">
        <f>"168.04"</f>
        <v>168.04</v>
      </c>
      <c r="M163" s="10"/>
      <c r="N163" s="10"/>
      <c r="O163" s="10"/>
      <c r="P163" s="10"/>
      <c r="Q163" s="10"/>
      <c r="R163" s="10"/>
      <c r="S163" s="10" t="str">
        <f>"136.82"</f>
        <v>136.82</v>
      </c>
      <c r="T163" s="10"/>
      <c r="U163" s="10"/>
      <c r="V163" s="10"/>
      <c r="W163" s="10"/>
      <c r="X163" s="10"/>
      <c r="Y163" s="10"/>
      <c r="Z163" s="10"/>
      <c r="AA163" s="10"/>
      <c r="AB163" s="10"/>
      <c r="AC163" s="10" t="str">
        <f>"108.07"</f>
        <v>108.07</v>
      </c>
      <c r="AD163" s="10"/>
      <c r="AE163" s="10"/>
      <c r="AF163" s="10"/>
      <c r="AG163" s="10"/>
      <c r="AH163" s="10"/>
      <c r="AI163" s="10" t="str">
        <f>"119.39"</f>
        <v>119.39</v>
      </c>
      <c r="AJ163" s="10"/>
      <c r="AK163" s="10"/>
      <c r="AL163" s="10"/>
      <c r="AM163" s="10"/>
      <c r="AN163" s="10"/>
      <c r="AO163" s="10"/>
    </row>
    <row r="164" spans="1:41">
      <c r="A164" s="8">
        <v>162</v>
      </c>
      <c r="B164" s="8">
        <v>4196</v>
      </c>
      <c r="C164" s="8" t="s">
        <v>320</v>
      </c>
      <c r="D164" s="8" t="s">
        <v>19</v>
      </c>
      <c r="E164" s="2" t="str">
        <f>"113.86"</f>
        <v>113.86</v>
      </c>
      <c r="F164" s="9"/>
      <c r="G164" s="9">
        <v>2017</v>
      </c>
      <c r="H164" s="10" t="str">
        <f>"123.35"</f>
        <v>123.35</v>
      </c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 t="str">
        <f>"96.76"</f>
        <v>96.76</v>
      </c>
      <c r="W164" s="10"/>
      <c r="X164" s="10"/>
      <c r="Y164" s="10"/>
      <c r="Z164" s="10"/>
      <c r="AA164" s="10"/>
      <c r="AB164" s="10" t="str">
        <f>"130.96"</f>
        <v>130.96</v>
      </c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</row>
    <row r="165" spans="1:41">
      <c r="A165" s="8">
        <v>163</v>
      </c>
      <c r="B165" s="8">
        <v>7123</v>
      </c>
      <c r="C165" s="8" t="s">
        <v>321</v>
      </c>
      <c r="D165" s="8" t="s">
        <v>52</v>
      </c>
      <c r="E165" s="2" t="str">
        <f>"114.05"</f>
        <v>114.05</v>
      </c>
      <c r="F165" s="9"/>
      <c r="G165" s="9">
        <v>2017</v>
      </c>
      <c r="H165" s="10" t="str">
        <f>"154.19"</f>
        <v>154.19</v>
      </c>
      <c r="I165" s="10"/>
      <c r="J165" s="10"/>
      <c r="K165" s="10"/>
      <c r="L165" s="10" t="str">
        <f>"114.42"</f>
        <v>114.42</v>
      </c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 t="str">
        <f>"147.85"</f>
        <v>147.85</v>
      </c>
      <c r="AD165" s="10" t="str">
        <f>"147.03"</f>
        <v>147.03</v>
      </c>
      <c r="AE165" s="10"/>
      <c r="AF165" s="10"/>
      <c r="AG165" s="10"/>
      <c r="AH165" s="10"/>
      <c r="AI165" s="10" t="str">
        <f>"113.68"</f>
        <v>113.68</v>
      </c>
      <c r="AJ165" s="10"/>
      <c r="AK165" s="10"/>
      <c r="AL165" s="10"/>
      <c r="AM165" s="10"/>
      <c r="AN165" s="10"/>
      <c r="AO165" s="10"/>
    </row>
    <row r="166" spans="1:41">
      <c r="A166" s="8">
        <v>164</v>
      </c>
      <c r="B166" s="8">
        <v>2275</v>
      </c>
      <c r="C166" s="8" t="s">
        <v>322</v>
      </c>
      <c r="D166" s="8" t="s">
        <v>42</v>
      </c>
      <c r="E166" s="2" t="str">
        <f>"114.11"</f>
        <v>114.11</v>
      </c>
      <c r="F166" s="9"/>
      <c r="G166" s="9">
        <v>2017</v>
      </c>
      <c r="H166" s="10" t="str">
        <f>"140.80"</f>
        <v>140.80</v>
      </c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 t="str">
        <f>"102.75"</f>
        <v>102.75</v>
      </c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 t="str">
        <f>"125.47"</f>
        <v>125.47</v>
      </c>
      <c r="AI166" s="10"/>
      <c r="AJ166" s="10"/>
      <c r="AK166" s="10"/>
      <c r="AL166" s="10"/>
      <c r="AM166" s="10"/>
      <c r="AN166" s="10"/>
      <c r="AO166" s="10"/>
    </row>
    <row r="167" spans="1:41">
      <c r="A167" s="8">
        <v>165</v>
      </c>
      <c r="B167" s="8">
        <v>10295</v>
      </c>
      <c r="C167" s="8" t="s">
        <v>323</v>
      </c>
      <c r="D167" s="8" t="s">
        <v>83</v>
      </c>
      <c r="E167" s="2" t="str">
        <f>"114.13"</f>
        <v>114.13</v>
      </c>
      <c r="F167" s="9" t="s">
        <v>9</v>
      </c>
      <c r="G167" s="9">
        <v>2017</v>
      </c>
      <c r="H167" s="10" t="str">
        <f>"6.56"</f>
        <v>6.56</v>
      </c>
      <c r="I167" s="10" t="str">
        <f>"79.26"</f>
        <v>79.26</v>
      </c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</row>
    <row r="168" spans="1:41">
      <c r="A168" s="8">
        <v>166</v>
      </c>
      <c r="B168" s="8">
        <v>10126</v>
      </c>
      <c r="C168" s="8" t="s">
        <v>324</v>
      </c>
      <c r="D168" s="8" t="s">
        <v>10</v>
      </c>
      <c r="E168" s="2" t="str">
        <f>"114.67"</f>
        <v>114.67</v>
      </c>
      <c r="F168" s="9"/>
      <c r="G168" s="9">
        <v>2017</v>
      </c>
      <c r="H168" s="10" t="str">
        <f>"173.51"</f>
        <v>173.51</v>
      </c>
      <c r="I168" s="10"/>
      <c r="J168" s="10"/>
      <c r="K168" s="10"/>
      <c r="L168" s="10"/>
      <c r="M168" s="10"/>
      <c r="N168" s="10"/>
      <c r="O168" s="10"/>
      <c r="P168" s="10"/>
      <c r="Q168" s="10"/>
      <c r="R168" s="10" t="str">
        <f>"156.35"</f>
        <v>156.35</v>
      </c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 t="str">
        <f>"128.76"</f>
        <v>128.76</v>
      </c>
      <c r="AG168" s="10"/>
      <c r="AH168" s="10"/>
      <c r="AI168" s="10"/>
      <c r="AJ168" s="10"/>
      <c r="AK168" s="10"/>
      <c r="AL168" s="10"/>
      <c r="AM168" s="10"/>
      <c r="AN168" s="10"/>
      <c r="AO168" s="10" t="str">
        <f>"100.58"</f>
        <v>100.58</v>
      </c>
    </row>
    <row r="169" spans="1:41">
      <c r="A169" s="8">
        <v>167</v>
      </c>
      <c r="B169" s="8">
        <v>5096</v>
      </c>
      <c r="C169" s="8" t="s">
        <v>325</v>
      </c>
      <c r="D169" s="8" t="s">
        <v>38</v>
      </c>
      <c r="E169" s="2" t="str">
        <f>"115.29"</f>
        <v>115.29</v>
      </c>
      <c r="F169" s="9" t="s">
        <v>11</v>
      </c>
      <c r="G169" s="9">
        <v>2017</v>
      </c>
      <c r="H169" s="10" t="str">
        <f>"80.06"</f>
        <v>80.06</v>
      </c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</row>
    <row r="170" spans="1:41">
      <c r="A170" s="8">
        <v>168</v>
      </c>
      <c r="B170" s="8">
        <v>1885</v>
      </c>
      <c r="C170" s="8" t="s">
        <v>326</v>
      </c>
      <c r="D170" s="8" t="s">
        <v>286</v>
      </c>
      <c r="E170" s="2" t="str">
        <f>"115.30"</f>
        <v>115.30</v>
      </c>
      <c r="F170" s="9"/>
      <c r="G170" s="9">
        <v>2017</v>
      </c>
      <c r="H170" s="10" t="str">
        <f>"90.38"</f>
        <v>90.38</v>
      </c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 t="str">
        <f>"99.07"</f>
        <v>99.07</v>
      </c>
      <c r="AD170" s="10" t="str">
        <f>"131.53"</f>
        <v>131.53</v>
      </c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</row>
    <row r="171" spans="1:41">
      <c r="A171" s="8">
        <v>169</v>
      </c>
      <c r="B171" s="8">
        <v>3287</v>
      </c>
      <c r="C171" s="8" t="s">
        <v>327</v>
      </c>
      <c r="D171" s="8" t="s">
        <v>41</v>
      </c>
      <c r="E171" s="2" t="str">
        <f>"115.44"</f>
        <v>115.44</v>
      </c>
      <c r="F171" s="9" t="s">
        <v>11</v>
      </c>
      <c r="G171" s="9">
        <v>2017</v>
      </c>
      <c r="H171" s="10" t="str">
        <f>"80.17"</f>
        <v>80.17</v>
      </c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</row>
    <row r="172" spans="1:41">
      <c r="A172" s="8">
        <v>170</v>
      </c>
      <c r="B172" s="8">
        <v>6131</v>
      </c>
      <c r="C172" s="8" t="s">
        <v>328</v>
      </c>
      <c r="D172" s="8" t="s">
        <v>19</v>
      </c>
      <c r="E172" s="2" t="str">
        <f>"115.46"</f>
        <v>115.46</v>
      </c>
      <c r="F172" s="9"/>
      <c r="G172" s="9">
        <v>2017</v>
      </c>
      <c r="H172" s="10" t="str">
        <f>"100.29"</f>
        <v>100.29</v>
      </c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 t="str">
        <f>"143.22"</f>
        <v>143.22</v>
      </c>
      <c r="AC172" s="10"/>
      <c r="AD172" s="10"/>
      <c r="AE172" s="10"/>
      <c r="AF172" s="10"/>
      <c r="AG172" s="10"/>
      <c r="AH172" s="10"/>
      <c r="AI172" s="10"/>
      <c r="AJ172" s="10"/>
      <c r="AK172" s="10"/>
      <c r="AL172" s="10" t="str">
        <f>"87.70"</f>
        <v>87.70</v>
      </c>
      <c r="AM172" s="10"/>
      <c r="AN172" s="10"/>
      <c r="AO172" s="10"/>
    </row>
    <row r="173" spans="1:41">
      <c r="A173" s="8">
        <v>171</v>
      </c>
      <c r="B173" s="8">
        <v>5427</v>
      </c>
      <c r="C173" s="8" t="s">
        <v>329</v>
      </c>
      <c r="D173" s="8" t="s">
        <v>19</v>
      </c>
      <c r="E173" s="2" t="str">
        <f>"115.63"</f>
        <v>115.63</v>
      </c>
      <c r="F173" s="9"/>
      <c r="G173" s="9">
        <v>2017</v>
      </c>
      <c r="H173" s="10" t="str">
        <f>"227.35"</f>
        <v>227.35</v>
      </c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 t="str">
        <f>"120.15"</f>
        <v>120.15</v>
      </c>
      <c r="W173" s="10"/>
      <c r="X173" s="10"/>
      <c r="Y173" s="10" t="str">
        <f>"111.11"</f>
        <v>111.11</v>
      </c>
      <c r="Z173" s="10"/>
      <c r="AA173" s="10"/>
      <c r="AB173" s="10" t="str">
        <f>"136.16"</f>
        <v>136.16</v>
      </c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</row>
    <row r="174" spans="1:41">
      <c r="A174" s="8">
        <v>172</v>
      </c>
      <c r="B174" s="8">
        <v>6282</v>
      </c>
      <c r="C174" s="8" t="s">
        <v>330</v>
      </c>
      <c r="D174" s="8" t="s">
        <v>331</v>
      </c>
      <c r="E174" s="2" t="str">
        <f>"116.84"</f>
        <v>116.84</v>
      </c>
      <c r="F174" s="9" t="s">
        <v>11</v>
      </c>
      <c r="G174" s="9">
        <v>2017</v>
      </c>
      <c r="H174" s="10" t="str">
        <f>"81.14"</f>
        <v>81.14</v>
      </c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</row>
    <row r="175" spans="1:41">
      <c r="A175" s="8">
        <v>173</v>
      </c>
      <c r="B175" s="8">
        <v>4286</v>
      </c>
      <c r="C175" s="8" t="s">
        <v>332</v>
      </c>
      <c r="D175" s="8" t="s">
        <v>49</v>
      </c>
      <c r="E175" s="2" t="str">
        <f>"116.85"</f>
        <v>116.85</v>
      </c>
      <c r="F175" s="9"/>
      <c r="G175" s="9">
        <v>2017</v>
      </c>
      <c r="H175" s="10" t="str">
        <f>"107.21"</f>
        <v>107.21</v>
      </c>
      <c r="I175" s="10"/>
      <c r="J175" s="10" t="str">
        <f>"148.91"</f>
        <v>148.91</v>
      </c>
      <c r="K175" s="10"/>
      <c r="L175" s="10" t="str">
        <f>"132.89"</f>
        <v>132.89</v>
      </c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 t="str">
        <f>"100.81"</f>
        <v>100.81</v>
      </c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</row>
    <row r="176" spans="1:41">
      <c r="A176" s="8">
        <v>174</v>
      </c>
      <c r="B176" s="8">
        <v>3961</v>
      </c>
      <c r="C176" s="8" t="s">
        <v>333</v>
      </c>
      <c r="D176" s="8" t="s">
        <v>10</v>
      </c>
      <c r="E176" s="2" t="str">
        <f>"116.97"</f>
        <v>116.97</v>
      </c>
      <c r="F176" s="9" t="s">
        <v>11</v>
      </c>
      <c r="G176" s="9">
        <v>2017</v>
      </c>
      <c r="H176" s="10" t="str">
        <f>"81.23"</f>
        <v>81.23</v>
      </c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</row>
    <row r="177" spans="1:41">
      <c r="A177" s="8">
        <v>175</v>
      </c>
      <c r="B177" s="8">
        <v>1226</v>
      </c>
      <c r="C177" s="8" t="s">
        <v>334</v>
      </c>
      <c r="D177" s="8" t="s">
        <v>42</v>
      </c>
      <c r="E177" s="2" t="str">
        <f>"117.04"</f>
        <v>117.04</v>
      </c>
      <c r="F177" s="9"/>
      <c r="G177" s="9">
        <v>2017</v>
      </c>
      <c r="H177" s="10" t="str">
        <f>"117.89"</f>
        <v>117.89</v>
      </c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 t="str">
        <f>"111.72"</f>
        <v>111.72</v>
      </c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 t="str">
        <f>"122.36"</f>
        <v>122.36</v>
      </c>
      <c r="AE177" s="10"/>
      <c r="AF177" s="10"/>
      <c r="AG177" s="10"/>
      <c r="AH177" s="10"/>
      <c r="AI177" s="10"/>
      <c r="AJ177" s="10"/>
      <c r="AK177" s="10"/>
      <c r="AL177" s="10" t="str">
        <f>"123.51"</f>
        <v>123.51</v>
      </c>
      <c r="AM177" s="10"/>
      <c r="AN177" s="10"/>
      <c r="AO177" s="10"/>
    </row>
    <row r="178" spans="1:41">
      <c r="A178" s="8">
        <v>176</v>
      </c>
      <c r="B178" s="8">
        <v>2039</v>
      </c>
      <c r="C178" s="8" t="s">
        <v>335</v>
      </c>
      <c r="D178" s="8" t="s">
        <v>336</v>
      </c>
      <c r="E178" s="2" t="str">
        <f>"117.23"</f>
        <v>117.23</v>
      </c>
      <c r="F178" s="9"/>
      <c r="G178" s="9">
        <v>2017</v>
      </c>
      <c r="H178" s="10" t="str">
        <f>"166.82"</f>
        <v>166.82</v>
      </c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 t="str">
        <f>"179.85"</f>
        <v>179.85</v>
      </c>
      <c r="T178" s="10"/>
      <c r="U178" s="10"/>
      <c r="V178" s="10"/>
      <c r="W178" s="10"/>
      <c r="X178" s="10"/>
      <c r="Y178" s="10"/>
      <c r="Z178" s="10"/>
      <c r="AA178" s="10"/>
      <c r="AB178" s="10"/>
      <c r="AC178" s="10" t="str">
        <f>"139.25"</f>
        <v>139.25</v>
      </c>
      <c r="AD178" s="10" t="str">
        <f>"152.71"</f>
        <v>152.71</v>
      </c>
      <c r="AE178" s="10"/>
      <c r="AF178" s="10"/>
      <c r="AG178" s="10" t="str">
        <f>"95.21"</f>
        <v>95.21</v>
      </c>
      <c r="AH178" s="10"/>
      <c r="AI178" s="10"/>
      <c r="AJ178" s="10"/>
      <c r="AK178" s="10"/>
      <c r="AL178" s="10"/>
      <c r="AM178" s="10"/>
      <c r="AN178" s="10"/>
      <c r="AO178" s="10"/>
    </row>
    <row r="179" spans="1:41">
      <c r="A179" s="8">
        <v>177</v>
      </c>
      <c r="B179" s="8">
        <v>3703</v>
      </c>
      <c r="C179" s="8" t="s">
        <v>337</v>
      </c>
      <c r="D179" s="8" t="s">
        <v>94</v>
      </c>
      <c r="E179" s="2" t="str">
        <f>"117.34"</f>
        <v>117.34</v>
      </c>
      <c r="F179" s="9"/>
      <c r="G179" s="9">
        <v>2017</v>
      </c>
      <c r="H179" s="10" t="str">
        <f>"150.16"</f>
        <v>150.16</v>
      </c>
      <c r="I179" s="10"/>
      <c r="J179" s="10"/>
      <c r="K179" s="10"/>
      <c r="L179" s="10"/>
      <c r="M179" s="10" t="str">
        <f>"133.08"</f>
        <v>133.08</v>
      </c>
      <c r="N179" s="10"/>
      <c r="O179" s="10"/>
      <c r="P179" s="10"/>
      <c r="Q179" s="10"/>
      <c r="R179" s="10"/>
      <c r="S179" s="10" t="str">
        <f>"133.45"</f>
        <v>133.45</v>
      </c>
      <c r="T179" s="10"/>
      <c r="U179" s="10"/>
      <c r="V179" s="10"/>
      <c r="W179" s="10"/>
      <c r="X179" s="10"/>
      <c r="Y179" s="10"/>
      <c r="Z179" s="10" t="str">
        <f>"101.59"</f>
        <v>101.59</v>
      </c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 t="str">
        <f>"150.32"</f>
        <v>150.32</v>
      </c>
      <c r="AM179" s="10"/>
      <c r="AN179" s="10"/>
      <c r="AO179" s="10"/>
    </row>
    <row r="180" spans="1:41">
      <c r="A180" s="8">
        <v>178</v>
      </c>
      <c r="B180" s="8">
        <v>6313</v>
      </c>
      <c r="C180" s="8" t="s">
        <v>338</v>
      </c>
      <c r="D180" s="8" t="s">
        <v>17</v>
      </c>
      <c r="E180" s="2" t="str">
        <f>"117.89"</f>
        <v>117.89</v>
      </c>
      <c r="F180" s="9"/>
      <c r="G180" s="9">
        <v>2017</v>
      </c>
      <c r="H180" s="10" t="str">
        <f>"127.77"</f>
        <v>127.77</v>
      </c>
      <c r="I180" s="10"/>
      <c r="J180" s="10" t="str">
        <f>"138.71"</f>
        <v>138.71</v>
      </c>
      <c r="K180" s="10"/>
      <c r="L180" s="10" t="str">
        <f>"115.93"</f>
        <v>115.93</v>
      </c>
      <c r="M180" s="10"/>
      <c r="N180" s="10"/>
      <c r="O180" s="10"/>
      <c r="P180" s="10"/>
      <c r="Q180" s="10"/>
      <c r="R180" s="10"/>
      <c r="S180" s="10" t="str">
        <f>"147.05"</f>
        <v>147.05</v>
      </c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 t="str">
        <f>"127.28"</f>
        <v>127.28</v>
      </c>
      <c r="AJ180" s="10" t="str">
        <f>"119.85"</f>
        <v>119.85</v>
      </c>
      <c r="AK180" s="10"/>
      <c r="AL180" s="10" t="str">
        <f>"143.76"</f>
        <v>143.76</v>
      </c>
      <c r="AM180" s="10"/>
      <c r="AN180" s="10"/>
      <c r="AO180" s="10"/>
    </row>
    <row r="181" spans="1:41">
      <c r="A181" s="8">
        <v>179</v>
      </c>
      <c r="B181" s="8">
        <v>6595</v>
      </c>
      <c r="C181" s="8" t="s">
        <v>339</v>
      </c>
      <c r="D181" s="8" t="s">
        <v>75</v>
      </c>
      <c r="E181" s="2" t="str">
        <f>"118.02"</f>
        <v>118.02</v>
      </c>
      <c r="F181" s="9"/>
      <c r="G181" s="9">
        <v>2017</v>
      </c>
      <c r="H181" s="10" t="str">
        <f>"153.34"</f>
        <v>153.34</v>
      </c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 t="str">
        <f>"104.72"</f>
        <v>104.72</v>
      </c>
      <c r="AA181" s="10"/>
      <c r="AB181" s="10"/>
      <c r="AC181" s="10" t="str">
        <f>"146.25"</f>
        <v>146.25</v>
      </c>
      <c r="AD181" s="10" t="str">
        <f>"131.31"</f>
        <v>131.31</v>
      </c>
      <c r="AE181" s="10"/>
      <c r="AF181" s="10"/>
      <c r="AG181" s="10"/>
      <c r="AH181" s="10"/>
      <c r="AI181" s="10" t="str">
        <f>"152.96"</f>
        <v>152.96</v>
      </c>
      <c r="AJ181" s="10"/>
      <c r="AK181" s="10"/>
      <c r="AL181" s="10" t="str">
        <f>"138.32"</f>
        <v>138.32</v>
      </c>
      <c r="AM181" s="10"/>
      <c r="AN181" s="10"/>
      <c r="AO181" s="10"/>
    </row>
    <row r="182" spans="1:41">
      <c r="A182" s="8">
        <v>180</v>
      </c>
      <c r="B182" s="8">
        <v>9685</v>
      </c>
      <c r="C182" s="8" t="s">
        <v>340</v>
      </c>
      <c r="D182" s="8" t="s">
        <v>12</v>
      </c>
      <c r="E182" s="2" t="str">
        <f>"118.50"</f>
        <v>118.50</v>
      </c>
      <c r="F182" s="9"/>
      <c r="G182" s="9">
        <v>2017</v>
      </c>
      <c r="H182" s="10" t="str">
        <f>"119.33"</f>
        <v>119.33</v>
      </c>
      <c r="I182" s="10"/>
      <c r="J182" s="10"/>
      <c r="K182" s="10"/>
      <c r="L182" s="10" t="str">
        <f>"128.48"</f>
        <v>128.48</v>
      </c>
      <c r="M182" s="10"/>
      <c r="N182" s="10"/>
      <c r="O182" s="10"/>
      <c r="P182" s="10"/>
      <c r="Q182" s="10"/>
      <c r="R182" s="10"/>
      <c r="S182" s="10" t="str">
        <f>"122.94"</f>
        <v>122.94</v>
      </c>
      <c r="T182" s="10"/>
      <c r="U182" s="10"/>
      <c r="V182" s="10"/>
      <c r="W182" s="10"/>
      <c r="X182" s="10"/>
      <c r="Y182" s="10"/>
      <c r="Z182" s="10"/>
      <c r="AA182" s="10"/>
      <c r="AB182" s="10"/>
      <c r="AC182" s="10" t="str">
        <f>"114.06"</f>
        <v>114.06</v>
      </c>
      <c r="AD182" s="10" t="str">
        <f>"142.67"</f>
        <v>142.67</v>
      </c>
      <c r="AE182" s="10"/>
      <c r="AF182" s="10"/>
      <c r="AG182" s="10"/>
      <c r="AH182" s="10"/>
      <c r="AI182" s="10" t="str">
        <f>"136.51"</f>
        <v>136.51</v>
      </c>
      <c r="AJ182" s="10"/>
      <c r="AK182" s="10"/>
      <c r="AL182" s="10" t="str">
        <f>"131.76"</f>
        <v>131.76</v>
      </c>
      <c r="AM182" s="10"/>
      <c r="AN182" s="10"/>
      <c r="AO182" s="10"/>
    </row>
    <row r="183" spans="1:41">
      <c r="A183" s="8">
        <v>181</v>
      </c>
      <c r="B183" s="8">
        <v>10812</v>
      </c>
      <c r="C183" s="8" t="s">
        <v>341</v>
      </c>
      <c r="D183" s="8" t="s">
        <v>19</v>
      </c>
      <c r="E183" s="2" t="str">
        <f>"118.89"</f>
        <v>118.89</v>
      </c>
      <c r="F183" s="9"/>
      <c r="G183" s="9">
        <v>2017</v>
      </c>
      <c r="H183" s="10" t="str">
        <f>"191.11"</f>
        <v>191.11</v>
      </c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 t="str">
        <f>"138.67"</f>
        <v>138.67</v>
      </c>
      <c r="W183" s="10"/>
      <c r="X183" s="10"/>
      <c r="Y183" s="10" t="str">
        <f>"166.32"</f>
        <v>166.32</v>
      </c>
      <c r="Z183" s="10"/>
      <c r="AA183" s="10"/>
      <c r="AB183" s="10" t="str">
        <f>"190.56"</f>
        <v>190.56</v>
      </c>
      <c r="AC183" s="10" t="str">
        <f>"111.67"</f>
        <v>111.67</v>
      </c>
      <c r="AD183" s="10"/>
      <c r="AE183" s="10"/>
      <c r="AF183" s="10"/>
      <c r="AG183" s="10"/>
      <c r="AH183" s="10"/>
      <c r="AI183" s="10" t="str">
        <f>"126.10"</f>
        <v>126.10</v>
      </c>
      <c r="AJ183" s="10"/>
      <c r="AK183" s="10"/>
      <c r="AL183" s="10"/>
      <c r="AM183" s="10"/>
      <c r="AN183" s="10"/>
      <c r="AO183" s="10"/>
    </row>
    <row r="184" spans="1:41">
      <c r="A184" s="8">
        <v>182</v>
      </c>
      <c r="B184" s="8">
        <v>5483</v>
      </c>
      <c r="C184" s="8" t="s">
        <v>342</v>
      </c>
      <c r="D184" s="8" t="s">
        <v>19</v>
      </c>
      <c r="E184" s="2" t="str">
        <f>"119.83"</f>
        <v>119.83</v>
      </c>
      <c r="F184" s="9"/>
      <c r="G184" s="9">
        <v>2017</v>
      </c>
      <c r="H184" s="10" t="str">
        <f>"142.30"</f>
        <v>142.30</v>
      </c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 t="str">
        <f>"101.64"</f>
        <v>101.64</v>
      </c>
      <c r="W184" s="10"/>
      <c r="X184" s="10"/>
      <c r="Y184" s="10" t="str">
        <f>"148.86"</f>
        <v>148.86</v>
      </c>
      <c r="Z184" s="10"/>
      <c r="AA184" s="10"/>
      <c r="AB184" s="10" t="str">
        <f>"138.02"</f>
        <v>138.02</v>
      </c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</row>
    <row r="185" spans="1:41">
      <c r="A185" s="8">
        <v>183</v>
      </c>
      <c r="B185" s="8">
        <v>10236</v>
      </c>
      <c r="C185" s="8" t="s">
        <v>343</v>
      </c>
      <c r="D185" s="8" t="s">
        <v>10</v>
      </c>
      <c r="E185" s="2" t="str">
        <f>"119.98"</f>
        <v>119.98</v>
      </c>
      <c r="F185" s="9"/>
      <c r="G185" s="9">
        <v>2017</v>
      </c>
      <c r="H185" s="10" t="str">
        <f>"128.76"</f>
        <v>128.76</v>
      </c>
      <c r="I185" s="10" t="str">
        <f>"156.49"</f>
        <v>156.49</v>
      </c>
      <c r="J185" s="10"/>
      <c r="K185" s="10" t="str">
        <f>"119.09"</f>
        <v>119.09</v>
      </c>
      <c r="L185" s="10"/>
      <c r="M185" s="10"/>
      <c r="N185" s="10"/>
      <c r="O185" s="10"/>
      <c r="P185" s="10"/>
      <c r="Q185" s="10"/>
      <c r="R185" s="10"/>
      <c r="S185" s="10" t="str">
        <f>"126.86"</f>
        <v>126.86</v>
      </c>
      <c r="T185" s="10"/>
      <c r="U185" s="10"/>
      <c r="V185" s="10"/>
      <c r="W185" s="10"/>
      <c r="X185" s="10"/>
      <c r="Y185" s="10"/>
      <c r="Z185" s="10"/>
      <c r="AA185" s="10"/>
      <c r="AB185" s="10"/>
      <c r="AC185" s="10" t="str">
        <f>"120.86"</f>
        <v>120.86</v>
      </c>
      <c r="AD185" s="10" t="str">
        <f>"145.29"</f>
        <v>145.29</v>
      </c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</row>
    <row r="186" spans="1:41">
      <c r="A186" s="8">
        <v>184</v>
      </c>
      <c r="B186" s="8">
        <v>6852</v>
      </c>
      <c r="C186" s="8" t="s">
        <v>344</v>
      </c>
      <c r="D186" s="8" t="s">
        <v>99</v>
      </c>
      <c r="E186" s="2" t="str">
        <f>"120.40"</f>
        <v>120.40</v>
      </c>
      <c r="F186" s="9"/>
      <c r="G186" s="9">
        <v>2017</v>
      </c>
      <c r="H186" s="10" t="str">
        <f>"138.83"</f>
        <v>138.83</v>
      </c>
      <c r="I186" s="10"/>
      <c r="J186" s="10"/>
      <c r="K186" s="10"/>
      <c r="L186" s="10"/>
      <c r="M186" s="10" t="str">
        <f>"110.49"</f>
        <v>110.49</v>
      </c>
      <c r="N186" s="10"/>
      <c r="O186" s="10" t="str">
        <f>"130.31"</f>
        <v>130.31</v>
      </c>
      <c r="P186" s="10"/>
      <c r="Q186" s="10"/>
      <c r="R186" s="10"/>
      <c r="S186" s="10" t="str">
        <f>"222.33"</f>
        <v>222.33</v>
      </c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</row>
    <row r="187" spans="1:41">
      <c r="A187" s="8">
        <v>185</v>
      </c>
      <c r="B187" s="8">
        <v>696</v>
      </c>
      <c r="C187" s="8" t="s">
        <v>345</v>
      </c>
      <c r="D187" s="8" t="s">
        <v>56</v>
      </c>
      <c r="E187" s="2" t="str">
        <f>"120.63"</f>
        <v>120.63</v>
      </c>
      <c r="F187" s="9" t="s">
        <v>11</v>
      </c>
      <c r="G187" s="9">
        <v>2017</v>
      </c>
      <c r="H187" s="10" t="str">
        <f>"83.77"</f>
        <v>83.77</v>
      </c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</row>
    <row r="188" spans="1:41">
      <c r="A188" s="8">
        <v>186</v>
      </c>
      <c r="B188" s="8">
        <v>4377</v>
      </c>
      <c r="C188" s="8" t="s">
        <v>346</v>
      </c>
      <c r="D188" s="8" t="s">
        <v>21</v>
      </c>
      <c r="E188" s="2" t="str">
        <f>"120.82"</f>
        <v>120.82</v>
      </c>
      <c r="F188" s="9"/>
      <c r="G188" s="9">
        <v>2017</v>
      </c>
      <c r="H188" s="10" t="str">
        <f>"140.65"</f>
        <v>140.65</v>
      </c>
      <c r="I188" s="10"/>
      <c r="J188" s="10"/>
      <c r="K188" s="10"/>
      <c r="L188" s="10"/>
      <c r="M188" s="10" t="str">
        <f>"194.26"</f>
        <v>194.26</v>
      </c>
      <c r="N188" s="10"/>
      <c r="O188" s="10" t="str">
        <f>"139.88"</f>
        <v>139.88</v>
      </c>
      <c r="P188" s="10"/>
      <c r="Q188" s="10"/>
      <c r="R188" s="10"/>
      <c r="S188" s="10"/>
      <c r="T188" s="10" t="str">
        <f>"176.59"</f>
        <v>176.59</v>
      </c>
      <c r="U188" s="10"/>
      <c r="V188" s="10"/>
      <c r="W188" s="10"/>
      <c r="X188" s="10"/>
      <c r="Y188" s="10"/>
      <c r="Z188" s="10" t="str">
        <f>"101.75"</f>
        <v>101.75</v>
      </c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</row>
    <row r="189" spans="1:41">
      <c r="A189" s="8">
        <v>187</v>
      </c>
      <c r="B189" s="8">
        <v>5759</v>
      </c>
      <c r="C189" s="8" t="s">
        <v>405</v>
      </c>
      <c r="D189" s="8" t="s">
        <v>16</v>
      </c>
      <c r="E189" s="2">
        <v>121.1</v>
      </c>
      <c r="F189" s="9" t="s">
        <v>1492</v>
      </c>
      <c r="G189" s="9">
        <v>2017</v>
      </c>
      <c r="H189" s="10" t="str">
        <f>"101.10"</f>
        <v>101.10</v>
      </c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</row>
    <row r="190" spans="1:41">
      <c r="A190" s="8">
        <v>188</v>
      </c>
      <c r="B190" s="8">
        <v>10209</v>
      </c>
      <c r="C190" s="8" t="s">
        <v>347</v>
      </c>
      <c r="D190" s="8" t="s">
        <v>10</v>
      </c>
      <c r="E190" s="2" t="str">
        <f>"122.15"</f>
        <v>122.15</v>
      </c>
      <c r="F190" s="9"/>
      <c r="G190" s="9">
        <v>2017</v>
      </c>
      <c r="H190" s="10" t="str">
        <f>"248.81"</f>
        <v>248.81</v>
      </c>
      <c r="I190" s="10"/>
      <c r="J190" s="10"/>
      <c r="K190" s="10"/>
      <c r="L190" s="10"/>
      <c r="M190" s="10"/>
      <c r="N190" s="10"/>
      <c r="O190" s="10"/>
      <c r="P190" s="10"/>
      <c r="Q190" s="10" t="str">
        <f>"241.50"</f>
        <v>241.50</v>
      </c>
      <c r="R190" s="10" t="str">
        <f>"275.59"</f>
        <v>275.59</v>
      </c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 t="str">
        <f>"164.20"</f>
        <v>164.20</v>
      </c>
      <c r="AF190" s="10" t="str">
        <f>"220.97"</f>
        <v>220.97</v>
      </c>
      <c r="AG190" s="10"/>
      <c r="AH190" s="10"/>
      <c r="AI190" s="10"/>
      <c r="AJ190" s="10" t="str">
        <f>"153.41"</f>
        <v>153.41</v>
      </c>
      <c r="AK190" s="10"/>
      <c r="AL190" s="10"/>
      <c r="AM190" s="10"/>
      <c r="AN190" s="10" t="str">
        <f>"122.70"</f>
        <v>122.70</v>
      </c>
      <c r="AO190" s="10" t="str">
        <f>"121.59"</f>
        <v>121.59</v>
      </c>
    </row>
    <row r="191" spans="1:41">
      <c r="A191" s="8">
        <v>189</v>
      </c>
      <c r="B191" s="8">
        <v>8490</v>
      </c>
      <c r="C191" s="8" t="s">
        <v>408</v>
      </c>
      <c r="D191" s="8" t="s">
        <v>10</v>
      </c>
      <c r="E191" s="2">
        <v>122.34</v>
      </c>
      <c r="F191" s="9" t="s">
        <v>1492</v>
      </c>
      <c r="G191" s="9">
        <v>2017</v>
      </c>
      <c r="H191" s="10" t="str">
        <f>"102.34"</f>
        <v>102.34</v>
      </c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</row>
    <row r="192" spans="1:41">
      <c r="A192" s="8">
        <v>190</v>
      </c>
      <c r="B192" s="8">
        <v>7806</v>
      </c>
      <c r="C192" s="8" t="s">
        <v>348</v>
      </c>
      <c r="D192" s="8" t="s">
        <v>286</v>
      </c>
      <c r="E192" s="2" t="str">
        <f>"122.36"</f>
        <v>122.36</v>
      </c>
      <c r="F192" s="9"/>
      <c r="G192" s="9">
        <v>2017</v>
      </c>
      <c r="H192" s="10" t="str">
        <f>"110.12"</f>
        <v>110.12</v>
      </c>
      <c r="I192" s="10" t="str">
        <f>"144.11"</f>
        <v>144.11</v>
      </c>
      <c r="J192" s="10"/>
      <c r="K192" s="10" t="str">
        <f>"100.61"</f>
        <v>100.61</v>
      </c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</row>
    <row r="193" spans="1:41">
      <c r="A193" s="8">
        <v>191</v>
      </c>
      <c r="B193" s="8">
        <v>4951</v>
      </c>
      <c r="C193" s="8" t="s">
        <v>349</v>
      </c>
      <c r="D193" s="8" t="s">
        <v>53</v>
      </c>
      <c r="E193" s="2" t="str">
        <f>"122.38"</f>
        <v>122.38</v>
      </c>
      <c r="F193" s="9"/>
      <c r="G193" s="9">
        <v>2017</v>
      </c>
      <c r="H193" s="10" t="str">
        <f>"112.20"</f>
        <v>112.20</v>
      </c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 t="str">
        <f>"118.31"</f>
        <v>118.31</v>
      </c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 t="str">
        <f>"126.45"</f>
        <v>126.45</v>
      </c>
      <c r="AH193" s="10"/>
      <c r="AI193" s="10"/>
      <c r="AJ193" s="10"/>
      <c r="AK193" s="10"/>
      <c r="AL193" s="10"/>
      <c r="AM193" s="10"/>
      <c r="AN193" s="10"/>
      <c r="AO193" s="10"/>
    </row>
    <row r="194" spans="1:41">
      <c r="A194" s="8">
        <v>192</v>
      </c>
      <c r="B194" s="8">
        <v>6466</v>
      </c>
      <c r="C194" s="8" t="s">
        <v>350</v>
      </c>
      <c r="D194" s="8" t="s">
        <v>56</v>
      </c>
      <c r="E194" s="2" t="str">
        <f>"122.80"</f>
        <v>122.80</v>
      </c>
      <c r="F194" s="9"/>
      <c r="G194" s="9">
        <v>2017</v>
      </c>
      <c r="H194" s="10" t="str">
        <f>"104.60"</f>
        <v>104.60</v>
      </c>
      <c r="I194" s="10"/>
      <c r="J194" s="10" t="str">
        <f>"175.52"</f>
        <v>175.52</v>
      </c>
      <c r="K194" s="10"/>
      <c r="L194" s="10" t="str">
        <f>"166.66"</f>
        <v>166.66</v>
      </c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 t="str">
        <f>"130.46"</f>
        <v>130.46</v>
      </c>
      <c r="AD194" s="10" t="str">
        <f>"150.31"</f>
        <v>150.31</v>
      </c>
      <c r="AE194" s="10"/>
      <c r="AF194" s="10"/>
      <c r="AG194" s="10" t="str">
        <f>"115.13"</f>
        <v>115.13</v>
      </c>
      <c r="AH194" s="10"/>
      <c r="AI194" s="10"/>
      <c r="AJ194" s="10"/>
      <c r="AK194" s="10"/>
      <c r="AL194" s="10"/>
      <c r="AM194" s="10"/>
      <c r="AN194" s="10"/>
      <c r="AO194" s="10"/>
    </row>
    <row r="195" spans="1:41">
      <c r="A195" s="8">
        <v>193</v>
      </c>
      <c r="B195" s="8">
        <v>10504</v>
      </c>
      <c r="C195" s="8" t="s">
        <v>351</v>
      </c>
      <c r="D195" s="8" t="s">
        <v>10</v>
      </c>
      <c r="E195" s="2" t="str">
        <f>"123.08"</f>
        <v>123.08</v>
      </c>
      <c r="F195" s="9"/>
      <c r="G195" s="9">
        <v>2017</v>
      </c>
      <c r="H195" s="10" t="str">
        <f>"185.38"</f>
        <v>185.38</v>
      </c>
      <c r="I195" s="10" t="str">
        <f>"122.05"</f>
        <v>122.05</v>
      </c>
      <c r="J195" s="10"/>
      <c r="K195" s="10" t="str">
        <f>"134.29"</f>
        <v>134.29</v>
      </c>
      <c r="L195" s="10"/>
      <c r="M195" s="10"/>
      <c r="N195" s="10"/>
      <c r="O195" s="10"/>
      <c r="P195" s="10"/>
      <c r="Q195" s="10"/>
      <c r="R195" s="10"/>
      <c r="S195" s="10" t="str">
        <f>"161.21"</f>
        <v>161.21</v>
      </c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 t="str">
        <f>"167.09"</f>
        <v>167.09</v>
      </c>
      <c r="AG195" s="10"/>
      <c r="AH195" s="10"/>
      <c r="AI195" s="10"/>
      <c r="AJ195" s="10"/>
      <c r="AK195" s="10"/>
      <c r="AL195" s="10" t="str">
        <f>"152.57"</f>
        <v>152.57</v>
      </c>
      <c r="AM195" s="10"/>
      <c r="AN195" s="10"/>
      <c r="AO195" s="10" t="str">
        <f>"124.11"</f>
        <v>124.11</v>
      </c>
    </row>
    <row r="196" spans="1:41">
      <c r="A196" s="8">
        <v>194</v>
      </c>
      <c r="B196" s="8">
        <v>3892</v>
      </c>
      <c r="C196" s="8" t="s">
        <v>352</v>
      </c>
      <c r="D196" s="8" t="s">
        <v>92</v>
      </c>
      <c r="E196" s="2" t="str">
        <f>"123.36"</f>
        <v>123.36</v>
      </c>
      <c r="F196" s="9"/>
      <c r="G196" s="9">
        <v>2017</v>
      </c>
      <c r="H196" s="10" t="str">
        <f>"153.86"</f>
        <v>153.86</v>
      </c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 t="str">
        <f>"128.26"</f>
        <v>128.26</v>
      </c>
      <c r="AD196" s="10" t="str">
        <f>"148.78"</f>
        <v>148.78</v>
      </c>
      <c r="AE196" s="10"/>
      <c r="AF196" s="10"/>
      <c r="AG196" s="10" t="str">
        <f>"118.45"</f>
        <v>118.45</v>
      </c>
      <c r="AH196" s="10" t="str">
        <f>"148.43"</f>
        <v>148.43</v>
      </c>
      <c r="AI196" s="10" t="str">
        <f>"135.84"</f>
        <v>135.84</v>
      </c>
      <c r="AJ196" s="10"/>
      <c r="AK196" s="10"/>
      <c r="AL196" s="10"/>
      <c r="AM196" s="10"/>
      <c r="AN196" s="10"/>
      <c r="AO196" s="10"/>
    </row>
    <row r="197" spans="1:41">
      <c r="A197" s="8">
        <v>195</v>
      </c>
      <c r="B197" s="8">
        <v>10278</v>
      </c>
      <c r="C197" s="8" t="s">
        <v>353</v>
      </c>
      <c r="D197" s="8" t="s">
        <v>12</v>
      </c>
      <c r="E197" s="2" t="str">
        <f>"123.66"</f>
        <v>123.66</v>
      </c>
      <c r="F197" s="9"/>
      <c r="G197" s="9">
        <v>2017</v>
      </c>
      <c r="H197" s="10" t="str">
        <f>"115.63"</f>
        <v>115.63</v>
      </c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 t="str">
        <f>"143.98"</f>
        <v>143.98</v>
      </c>
      <c r="AA197" s="10"/>
      <c r="AB197" s="10"/>
      <c r="AC197" s="10" t="str">
        <f>"129.06"</f>
        <v>129.06</v>
      </c>
      <c r="AD197" s="10" t="str">
        <f>"138.30"</f>
        <v>138.30</v>
      </c>
      <c r="AE197" s="10"/>
      <c r="AF197" s="10"/>
      <c r="AG197" s="10" t="str">
        <f>"118.25"</f>
        <v>118.25</v>
      </c>
      <c r="AH197" s="10" t="str">
        <f>"145.90"</f>
        <v>145.90</v>
      </c>
      <c r="AI197" s="10"/>
      <c r="AJ197" s="10"/>
      <c r="AK197" s="10"/>
      <c r="AL197" s="10"/>
      <c r="AM197" s="10"/>
      <c r="AN197" s="10"/>
      <c r="AO197" s="10"/>
    </row>
    <row r="198" spans="1:41">
      <c r="A198" s="8">
        <v>196</v>
      </c>
      <c r="B198" s="8">
        <v>2247</v>
      </c>
      <c r="C198" s="8" t="s">
        <v>354</v>
      </c>
      <c r="D198" s="8" t="s">
        <v>10</v>
      </c>
      <c r="E198" s="2" t="str">
        <f>"124.25"</f>
        <v>124.25</v>
      </c>
      <c r="F198" s="9"/>
      <c r="G198" s="9">
        <v>2017</v>
      </c>
      <c r="H198" s="10" t="str">
        <f>"190.68"</f>
        <v>190.68</v>
      </c>
      <c r="I198" s="10"/>
      <c r="J198" s="10"/>
      <c r="K198" s="10"/>
      <c r="L198" s="10"/>
      <c r="M198" s="10"/>
      <c r="N198" s="10"/>
      <c r="O198" s="10"/>
      <c r="P198" s="10"/>
      <c r="Q198" s="10"/>
      <c r="R198" s="10" t="str">
        <f>"205.92"</f>
        <v>205.92</v>
      </c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 t="str">
        <f>"140.33"</f>
        <v>140.33</v>
      </c>
      <c r="AG198" s="10"/>
      <c r="AH198" s="10"/>
      <c r="AI198" s="10"/>
      <c r="AJ198" s="10"/>
      <c r="AK198" s="10"/>
      <c r="AL198" s="10"/>
      <c r="AM198" s="10"/>
      <c r="AN198" s="10"/>
      <c r="AO198" s="10" t="str">
        <f>"108.16"</f>
        <v>108.16</v>
      </c>
    </row>
    <row r="199" spans="1:41">
      <c r="A199" s="8">
        <v>197</v>
      </c>
      <c r="B199" s="8">
        <v>10499</v>
      </c>
      <c r="C199" s="8" t="s">
        <v>355</v>
      </c>
      <c r="D199" s="8" t="s">
        <v>10</v>
      </c>
      <c r="E199" s="2" t="str">
        <f>"124.90"</f>
        <v>124.90</v>
      </c>
      <c r="F199" s="9"/>
      <c r="G199" s="9">
        <v>2017</v>
      </c>
      <c r="H199" s="10" t="str">
        <f>"341.08"</f>
        <v>341.08</v>
      </c>
      <c r="I199" s="10"/>
      <c r="J199" s="10"/>
      <c r="K199" s="10"/>
      <c r="L199" s="10"/>
      <c r="M199" s="10"/>
      <c r="N199" s="10"/>
      <c r="O199" s="10"/>
      <c r="P199" s="10"/>
      <c r="Q199" s="10" t="str">
        <f>"149.05"</f>
        <v>149.05</v>
      </c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 t="str">
        <f>"142.49"</f>
        <v>142.49</v>
      </c>
      <c r="AF199" s="10"/>
      <c r="AG199" s="10"/>
      <c r="AH199" s="10"/>
      <c r="AI199" s="10"/>
      <c r="AJ199" s="10"/>
      <c r="AK199" s="10"/>
      <c r="AL199" s="10"/>
      <c r="AM199" s="10"/>
      <c r="AN199" s="10" t="str">
        <f>"108.54"</f>
        <v>108.54</v>
      </c>
      <c r="AO199" s="10" t="str">
        <f>"141.26"</f>
        <v>141.26</v>
      </c>
    </row>
    <row r="200" spans="1:41">
      <c r="A200" s="8">
        <v>198</v>
      </c>
      <c r="B200" s="8">
        <v>6310</v>
      </c>
      <c r="C200" s="8" t="s">
        <v>356</v>
      </c>
      <c r="D200" s="8" t="s">
        <v>99</v>
      </c>
      <c r="E200" s="2" t="str">
        <f>"125.51"</f>
        <v>125.51</v>
      </c>
      <c r="F200" s="9"/>
      <c r="G200" s="9">
        <v>2017</v>
      </c>
      <c r="H200" s="10" t="str">
        <f>"118.73"</f>
        <v>118.73</v>
      </c>
      <c r="I200" s="10"/>
      <c r="J200" s="10"/>
      <c r="K200" s="10"/>
      <c r="L200" s="10"/>
      <c r="M200" s="10" t="str">
        <f>"123.19"</f>
        <v>123.19</v>
      </c>
      <c r="N200" s="10"/>
      <c r="O200" s="10" t="str">
        <f>"127.83"</f>
        <v>127.83</v>
      </c>
      <c r="P200" s="10"/>
      <c r="Q200" s="10"/>
      <c r="R200" s="10"/>
      <c r="S200" s="10"/>
      <c r="T200" s="10" t="str">
        <f>"142.28"</f>
        <v>142.28</v>
      </c>
      <c r="U200" s="10"/>
      <c r="V200" s="10"/>
      <c r="W200" s="10"/>
      <c r="X200" s="10"/>
      <c r="Y200" s="10"/>
      <c r="Z200" s="10"/>
      <c r="AA200" s="10"/>
      <c r="AB200" s="10"/>
      <c r="AC200" s="10" t="str">
        <f>"131.86"</f>
        <v>131.86</v>
      </c>
      <c r="AD200" s="10" t="str">
        <f>"159.48"</f>
        <v>159.48</v>
      </c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</row>
    <row r="201" spans="1:41">
      <c r="A201" s="8">
        <v>199</v>
      </c>
      <c r="B201" s="8">
        <v>3007</v>
      </c>
      <c r="C201" s="8" t="s">
        <v>357</v>
      </c>
      <c r="D201" s="8" t="s">
        <v>42</v>
      </c>
      <c r="E201" s="2" t="str">
        <f>"126.96"</f>
        <v>126.96</v>
      </c>
      <c r="F201" s="9"/>
      <c r="G201" s="9">
        <v>2017</v>
      </c>
      <c r="H201" s="10" t="str">
        <f>"65.88"</f>
        <v>65.88</v>
      </c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 t="str">
        <f>"106.67"</f>
        <v>106.67</v>
      </c>
      <c r="AD201" s="10" t="str">
        <f>"147.25"</f>
        <v>147.25</v>
      </c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</row>
    <row r="202" spans="1:41">
      <c r="A202" s="8">
        <v>200</v>
      </c>
      <c r="B202" s="8">
        <v>3192</v>
      </c>
      <c r="C202" s="8" t="s">
        <v>358</v>
      </c>
      <c r="D202" s="8" t="s">
        <v>10</v>
      </c>
      <c r="E202" s="2" t="str">
        <f>"127.05"</f>
        <v>127.05</v>
      </c>
      <c r="F202" s="9"/>
      <c r="G202" s="9">
        <v>2017</v>
      </c>
      <c r="H202" s="10" t="str">
        <f>"98.41"</f>
        <v>98.41</v>
      </c>
      <c r="I202" s="10"/>
      <c r="J202" s="10"/>
      <c r="K202" s="10"/>
      <c r="L202" s="10"/>
      <c r="M202" s="10"/>
      <c r="N202" s="10"/>
      <c r="O202" s="10"/>
      <c r="P202" s="10"/>
      <c r="Q202" s="10"/>
      <c r="R202" s="10" t="str">
        <f>"117.18"</f>
        <v>117.18</v>
      </c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 t="str">
        <f>"136.92"</f>
        <v>136.92</v>
      </c>
      <c r="AG202" s="10"/>
      <c r="AH202" s="10"/>
      <c r="AI202" s="10"/>
      <c r="AJ202" s="10"/>
      <c r="AK202" s="10"/>
      <c r="AL202" s="10"/>
      <c r="AM202" s="10"/>
      <c r="AN202" s="10"/>
      <c r="AO202" s="10"/>
    </row>
    <row r="203" spans="1:41">
      <c r="A203" s="8">
        <v>201</v>
      </c>
      <c r="B203" s="8">
        <v>6847</v>
      </c>
      <c r="C203" s="8" t="s">
        <v>359</v>
      </c>
      <c r="D203" s="8" t="s">
        <v>10</v>
      </c>
      <c r="E203" s="2" t="str">
        <f>"127.55"</f>
        <v>127.55</v>
      </c>
      <c r="F203" s="9"/>
      <c r="G203" s="9">
        <v>2017</v>
      </c>
      <c r="H203" s="10" t="str">
        <f>"112.20"</f>
        <v>112.20</v>
      </c>
      <c r="I203" s="10"/>
      <c r="J203" s="10"/>
      <c r="K203" s="10"/>
      <c r="L203" s="10"/>
      <c r="M203" s="10"/>
      <c r="N203" s="10"/>
      <c r="O203" s="10"/>
      <c r="P203" s="10"/>
      <c r="Q203" s="10"/>
      <c r="R203" s="10" t="str">
        <f>"154.78"</f>
        <v>154.78</v>
      </c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 t="str">
        <f>"180.37"</f>
        <v>180.37</v>
      </c>
      <c r="AG203" s="10" t="str">
        <f>"114.35"</f>
        <v>114.35</v>
      </c>
      <c r="AH203" s="10" t="str">
        <f>"140.74"</f>
        <v>140.74</v>
      </c>
      <c r="AI203" s="10"/>
      <c r="AJ203" s="10"/>
      <c r="AK203" s="10"/>
      <c r="AL203" s="10"/>
      <c r="AM203" s="10"/>
      <c r="AN203" s="10"/>
      <c r="AO203" s="10"/>
    </row>
    <row r="204" spans="1:41">
      <c r="A204" s="8">
        <v>202</v>
      </c>
      <c r="B204" s="8">
        <v>3699</v>
      </c>
      <c r="C204" s="8" t="s">
        <v>360</v>
      </c>
      <c r="D204" s="8" t="s">
        <v>361</v>
      </c>
      <c r="E204" s="2" t="str">
        <f>"127.63"</f>
        <v>127.63</v>
      </c>
      <c r="F204" s="9"/>
      <c r="G204" s="9">
        <v>2017</v>
      </c>
      <c r="H204" s="10" t="str">
        <f>"131.09"</f>
        <v>131.09</v>
      </c>
      <c r="I204" s="10"/>
      <c r="J204" s="10" t="str">
        <f>"132.64"</f>
        <v>132.64</v>
      </c>
      <c r="K204" s="10"/>
      <c r="L204" s="10" t="str">
        <f>"153.71"</f>
        <v>153.71</v>
      </c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 t="str">
        <f>"126.46"</f>
        <v>126.46</v>
      </c>
      <c r="AD204" s="10" t="str">
        <f>"171.70"</f>
        <v>171.70</v>
      </c>
      <c r="AE204" s="10"/>
      <c r="AF204" s="10"/>
      <c r="AG204" s="10" t="str">
        <f>"128.79"</f>
        <v>128.79</v>
      </c>
      <c r="AH204" s="10" t="str">
        <f>"192.81"</f>
        <v>192.81</v>
      </c>
      <c r="AI204" s="10" t="str">
        <f>"129.13"</f>
        <v>129.13</v>
      </c>
      <c r="AJ204" s="10"/>
      <c r="AK204" s="10"/>
      <c r="AL204" s="10"/>
      <c r="AM204" s="10"/>
      <c r="AN204" s="10"/>
      <c r="AO204" s="10"/>
    </row>
    <row r="205" spans="1:41">
      <c r="A205" s="8">
        <v>203</v>
      </c>
      <c r="B205" s="8">
        <v>4139</v>
      </c>
      <c r="C205" s="8" t="s">
        <v>362</v>
      </c>
      <c r="D205" s="8" t="s">
        <v>8</v>
      </c>
      <c r="E205" s="2" t="str">
        <f>"127.71"</f>
        <v>127.71</v>
      </c>
      <c r="F205" s="9" t="s">
        <v>11</v>
      </c>
      <c r="G205" s="9">
        <v>2017</v>
      </c>
      <c r="H205" s="10" t="str">
        <f>"88.69"</f>
        <v>88.69</v>
      </c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</row>
    <row r="206" spans="1:41">
      <c r="A206" s="8">
        <v>204</v>
      </c>
      <c r="B206" s="8">
        <v>6700</v>
      </c>
      <c r="C206" s="8" t="s">
        <v>363</v>
      </c>
      <c r="D206" s="8" t="s">
        <v>24</v>
      </c>
      <c r="E206" s="2" t="str">
        <f>"128.28"</f>
        <v>128.28</v>
      </c>
      <c r="F206" s="9"/>
      <c r="G206" s="9">
        <v>2017</v>
      </c>
      <c r="H206" s="10" t="str">
        <f>"186.65"</f>
        <v>186.65</v>
      </c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 t="str">
        <f>"197.37"</f>
        <v>197.37</v>
      </c>
      <c r="T206" s="10"/>
      <c r="U206" s="10"/>
      <c r="V206" s="10"/>
      <c r="W206" s="10"/>
      <c r="X206" s="10"/>
      <c r="Y206" s="10"/>
      <c r="Z206" s="10"/>
      <c r="AA206" s="10"/>
      <c r="AB206" s="10"/>
      <c r="AC206" s="10" t="str">
        <f>"153.45"</f>
        <v>153.45</v>
      </c>
      <c r="AD206" s="10" t="str">
        <f>"167.99"</f>
        <v>167.99</v>
      </c>
      <c r="AE206" s="10"/>
      <c r="AF206" s="10"/>
      <c r="AG206" s="10" t="str">
        <f>"116.01"</f>
        <v>116.01</v>
      </c>
      <c r="AH206" s="10"/>
      <c r="AI206" s="10" t="str">
        <f>"140.54"</f>
        <v>140.54</v>
      </c>
      <c r="AJ206" s="10"/>
      <c r="AK206" s="10"/>
      <c r="AL206" s="10"/>
      <c r="AM206" s="10"/>
      <c r="AN206" s="10"/>
      <c r="AO206" s="10"/>
    </row>
    <row r="207" spans="1:41">
      <c r="A207" s="8">
        <v>205</v>
      </c>
      <c r="B207" s="8">
        <v>2038</v>
      </c>
      <c r="C207" s="8" t="s">
        <v>364</v>
      </c>
      <c r="D207" s="8" t="s">
        <v>27</v>
      </c>
      <c r="E207" s="2" t="str">
        <f>"128.36"</f>
        <v>128.36</v>
      </c>
      <c r="F207" s="9"/>
      <c r="G207" s="9">
        <v>2017</v>
      </c>
      <c r="H207" s="10" t="str">
        <f>"101.77"</f>
        <v>101.77</v>
      </c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 t="str">
        <f>"133.96"</f>
        <v>133.96</v>
      </c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 t="str">
        <f>"122.75"</f>
        <v>122.75</v>
      </c>
      <c r="AJ207" s="10"/>
      <c r="AK207" s="10"/>
      <c r="AL207" s="10" t="str">
        <f>"157.07"</f>
        <v>157.07</v>
      </c>
      <c r="AM207" s="10"/>
      <c r="AN207" s="10"/>
      <c r="AO207" s="10"/>
    </row>
    <row r="208" spans="1:41">
      <c r="A208" s="8">
        <v>206</v>
      </c>
      <c r="B208" s="8">
        <v>3346</v>
      </c>
      <c r="C208" s="8" t="s">
        <v>365</v>
      </c>
      <c r="D208" s="8" t="s">
        <v>64</v>
      </c>
      <c r="E208" s="2" t="str">
        <f>"128.37"</f>
        <v>128.37</v>
      </c>
      <c r="F208" s="9"/>
      <c r="G208" s="9">
        <v>2017</v>
      </c>
      <c r="H208" s="10" t="str">
        <f>"152.25"</f>
        <v>152.25</v>
      </c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 t="str">
        <f>"133.97"</f>
        <v>133.97</v>
      </c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 t="str">
        <f>"122.76"</f>
        <v>122.76</v>
      </c>
      <c r="AM208" s="10"/>
      <c r="AN208" s="10"/>
      <c r="AO208" s="10"/>
    </row>
    <row r="209" spans="1:41">
      <c r="A209" s="8">
        <v>207</v>
      </c>
      <c r="B209" s="8">
        <v>10259</v>
      </c>
      <c r="C209" s="8" t="s">
        <v>366</v>
      </c>
      <c r="D209" s="8" t="s">
        <v>34</v>
      </c>
      <c r="E209" s="2" t="str">
        <f>"128.55"</f>
        <v>128.55</v>
      </c>
      <c r="F209" s="9"/>
      <c r="G209" s="9">
        <v>2017</v>
      </c>
      <c r="H209" s="10" t="str">
        <f>"166.47"</f>
        <v>166.47</v>
      </c>
      <c r="I209" s="10" t="str">
        <f>"131.33"</f>
        <v>131.33</v>
      </c>
      <c r="J209" s="10"/>
      <c r="K209" s="10" t="str">
        <f>"201.64"</f>
        <v>201.64</v>
      </c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 t="str">
        <f>"125.77"</f>
        <v>125.77</v>
      </c>
      <c r="AH209" s="10" t="str">
        <f>"144.59"</f>
        <v>144.59</v>
      </c>
      <c r="AI209" s="10"/>
      <c r="AJ209" s="10"/>
      <c r="AK209" s="10"/>
      <c r="AL209" s="10"/>
      <c r="AM209" s="10"/>
      <c r="AN209" s="10"/>
      <c r="AO209" s="10"/>
    </row>
    <row r="210" spans="1:41">
      <c r="A210" s="8">
        <v>208</v>
      </c>
      <c r="B210" s="8">
        <v>3391</v>
      </c>
      <c r="C210" s="8" t="s">
        <v>367</v>
      </c>
      <c r="D210" s="8" t="s">
        <v>14</v>
      </c>
      <c r="E210" s="2" t="str">
        <f>"128.83"</f>
        <v>128.83</v>
      </c>
      <c r="F210" s="9"/>
      <c r="G210" s="9">
        <v>2017</v>
      </c>
      <c r="H210" s="10" t="str">
        <f>"151.38"</f>
        <v>151.38</v>
      </c>
      <c r="I210" s="10"/>
      <c r="J210" s="10"/>
      <c r="K210" s="10"/>
      <c r="L210" s="10" t="str">
        <f>"172.73"</f>
        <v>172.73</v>
      </c>
      <c r="M210" s="10" t="str">
        <f>"150.96"</f>
        <v>150.96</v>
      </c>
      <c r="N210" s="10"/>
      <c r="O210" s="10"/>
      <c r="P210" s="10"/>
      <c r="Q210" s="10"/>
      <c r="R210" s="10"/>
      <c r="S210" s="10" t="str">
        <f>"262.00"</f>
        <v>262.00</v>
      </c>
      <c r="T210" s="10"/>
      <c r="U210" s="10"/>
      <c r="V210" s="10"/>
      <c r="W210" s="10"/>
      <c r="X210" s="10"/>
      <c r="Y210" s="10"/>
      <c r="Z210" s="10"/>
      <c r="AA210" s="10"/>
      <c r="AB210" s="10"/>
      <c r="AC210" s="10" t="str">
        <f>"141.25"</f>
        <v>141.25</v>
      </c>
      <c r="AD210" s="10"/>
      <c r="AE210" s="10"/>
      <c r="AF210" s="10"/>
      <c r="AG210" s="10" t="str">
        <f>"116.40"</f>
        <v>116.40</v>
      </c>
      <c r="AH210" s="10" t="str">
        <f>"202.36"</f>
        <v>202.36</v>
      </c>
      <c r="AI210" s="10"/>
      <c r="AJ210" s="10"/>
      <c r="AK210" s="10"/>
      <c r="AL210" s="10"/>
      <c r="AM210" s="10"/>
      <c r="AN210" s="10"/>
      <c r="AO210" s="10"/>
    </row>
    <row r="211" spans="1:41">
      <c r="A211" s="8">
        <v>209</v>
      </c>
      <c r="B211" s="8">
        <v>2918</v>
      </c>
      <c r="C211" s="8" t="s">
        <v>368</v>
      </c>
      <c r="D211" s="8" t="s">
        <v>52</v>
      </c>
      <c r="E211" s="2" t="str">
        <f>"129.58"</f>
        <v>129.58</v>
      </c>
      <c r="F211" s="9"/>
      <c r="G211" s="9">
        <v>2017</v>
      </c>
      <c r="H211" s="10" t="str">
        <f>"122.11"</f>
        <v>122.11</v>
      </c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 t="str">
        <f>"130.86"</f>
        <v>130.86</v>
      </c>
      <c r="AD211" s="10" t="str">
        <f>"162.53"</f>
        <v>162.53</v>
      </c>
      <c r="AE211" s="10"/>
      <c r="AF211" s="10"/>
      <c r="AG211" s="10"/>
      <c r="AH211" s="10"/>
      <c r="AI211" s="10" t="str">
        <f>"128.29"</f>
        <v>128.29</v>
      </c>
      <c r="AJ211" s="10"/>
      <c r="AK211" s="10"/>
      <c r="AL211" s="10"/>
      <c r="AM211" s="10"/>
      <c r="AN211" s="10"/>
      <c r="AO211" s="10"/>
    </row>
    <row r="212" spans="1:41">
      <c r="A212" s="8">
        <v>210</v>
      </c>
      <c r="B212" s="8">
        <v>3432</v>
      </c>
      <c r="C212" s="8" t="s">
        <v>369</v>
      </c>
      <c r="D212" s="8" t="s">
        <v>8</v>
      </c>
      <c r="E212" s="2" t="str">
        <f>"130.55"</f>
        <v>130.55</v>
      </c>
      <c r="F212" s="9"/>
      <c r="G212" s="9">
        <v>2017</v>
      </c>
      <c r="H212" s="10" t="str">
        <f>"136.41"</f>
        <v>136.41</v>
      </c>
      <c r="I212" s="10"/>
      <c r="J212" s="10" t="str">
        <f>"136.51"</f>
        <v>136.51</v>
      </c>
      <c r="K212" s="10"/>
      <c r="L212" s="10" t="str">
        <f>"178.80"</f>
        <v>178.80</v>
      </c>
      <c r="M212" s="10"/>
      <c r="N212" s="10"/>
      <c r="O212" s="10"/>
      <c r="P212" s="10"/>
      <c r="Q212" s="10"/>
      <c r="R212" s="10"/>
      <c r="S212" s="10" t="str">
        <f>"198.50"</f>
        <v>198.50</v>
      </c>
      <c r="T212" s="10"/>
      <c r="U212" s="10"/>
      <c r="V212" s="10"/>
      <c r="W212" s="10"/>
      <c r="X212" s="10"/>
      <c r="Y212" s="10"/>
      <c r="Z212" s="10" t="str">
        <f>"124.59"</f>
        <v>124.59</v>
      </c>
      <c r="AA212" s="10"/>
      <c r="AB212" s="10"/>
      <c r="AC212" s="10" t="str">
        <f>"172.04"</f>
        <v>172.04</v>
      </c>
      <c r="AD212" s="10" t="str">
        <f>"196.37"</f>
        <v>196.37</v>
      </c>
      <c r="AE212" s="10"/>
      <c r="AF212" s="10"/>
      <c r="AG212" s="10"/>
      <c r="AH212" s="10"/>
      <c r="AI212" s="10" t="str">
        <f>"198.78"</f>
        <v>198.78</v>
      </c>
      <c r="AJ212" s="10"/>
      <c r="AK212" s="10"/>
      <c r="AL212" s="10"/>
      <c r="AM212" s="10"/>
      <c r="AN212" s="10"/>
      <c r="AO212" s="10"/>
    </row>
    <row r="213" spans="1:41">
      <c r="A213" s="8">
        <v>211</v>
      </c>
      <c r="B213" s="8">
        <v>10130</v>
      </c>
      <c r="C213" s="8" t="s">
        <v>370</v>
      </c>
      <c r="D213" s="8" t="s">
        <v>10</v>
      </c>
      <c r="E213" s="2" t="str">
        <f>"130.58"</f>
        <v>130.58</v>
      </c>
      <c r="F213" s="9"/>
      <c r="G213" s="9">
        <v>2017</v>
      </c>
      <c r="H213" s="10" t="str">
        <f>"151.46"</f>
        <v>151.46</v>
      </c>
      <c r="I213" s="10"/>
      <c r="J213" s="10"/>
      <c r="K213" s="10" t="str">
        <f>"156.60"</f>
        <v>156.60</v>
      </c>
      <c r="L213" s="10"/>
      <c r="M213" s="10"/>
      <c r="N213" s="10"/>
      <c r="O213" s="10"/>
      <c r="P213" s="10"/>
      <c r="Q213" s="10"/>
      <c r="R213" s="10" t="str">
        <f>"183.90"</f>
        <v>183.90</v>
      </c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 t="str">
        <f>"170.50"</f>
        <v>170.50</v>
      </c>
      <c r="AG213" s="10"/>
      <c r="AH213" s="10"/>
      <c r="AI213" s="10" t="str">
        <f>"141.04"</f>
        <v>141.04</v>
      </c>
      <c r="AJ213" s="10"/>
      <c r="AK213" s="10"/>
      <c r="AL213" s="10" t="str">
        <f>"168.88"</f>
        <v>168.88</v>
      </c>
      <c r="AM213" s="10"/>
      <c r="AN213" s="10"/>
      <c r="AO213" s="10" t="str">
        <f>"120.12"</f>
        <v>120.12</v>
      </c>
    </row>
    <row r="214" spans="1:41">
      <c r="A214" s="8">
        <v>212</v>
      </c>
      <c r="B214" s="8">
        <v>2718</v>
      </c>
      <c r="C214" s="8" t="s">
        <v>371</v>
      </c>
      <c r="D214" s="8" t="s">
        <v>12</v>
      </c>
      <c r="E214" s="2" t="str">
        <f>"131.12"</f>
        <v>131.12</v>
      </c>
      <c r="F214" s="9" t="s">
        <v>9</v>
      </c>
      <c r="G214" s="9">
        <v>2017</v>
      </c>
      <c r="H214" s="10" t="str">
        <f>"161.36"</f>
        <v>161.36</v>
      </c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 t="str">
        <f>"91.12"</f>
        <v>91.12</v>
      </c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</row>
    <row r="215" spans="1:41">
      <c r="A215" s="8">
        <v>213</v>
      </c>
      <c r="B215" s="8">
        <v>6314</v>
      </c>
      <c r="C215" s="8" t="s">
        <v>372</v>
      </c>
      <c r="D215" s="8" t="s">
        <v>82</v>
      </c>
      <c r="E215" s="2" t="str">
        <f>"131.21"</f>
        <v>131.21</v>
      </c>
      <c r="F215" s="9"/>
      <c r="G215" s="9">
        <v>2017</v>
      </c>
      <c r="H215" s="10" t="str">
        <f>"122.77"</f>
        <v>122.77</v>
      </c>
      <c r="I215" s="10"/>
      <c r="J215" s="10"/>
      <c r="K215" s="10"/>
      <c r="L215" s="10"/>
      <c r="M215" s="10" t="str">
        <f>"195.04"</f>
        <v>195.04</v>
      </c>
      <c r="N215" s="10"/>
      <c r="O215" s="10" t="str">
        <f>"170.25"</f>
        <v>170.25</v>
      </c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 t="str">
        <f>"114.57"</f>
        <v>114.57</v>
      </c>
      <c r="AA215" s="10"/>
      <c r="AB215" s="10"/>
      <c r="AC215" s="10" t="str">
        <f>"147.85"</f>
        <v>147.85</v>
      </c>
      <c r="AD215" s="10" t="str">
        <f>"166.02"</f>
        <v>166.02</v>
      </c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</row>
    <row r="216" spans="1:41">
      <c r="A216" s="8">
        <v>214</v>
      </c>
      <c r="B216" s="8">
        <v>5252</v>
      </c>
      <c r="C216" s="8" t="s">
        <v>373</v>
      </c>
      <c r="D216" s="8" t="s">
        <v>33</v>
      </c>
      <c r="E216" s="2" t="str">
        <f>"131.50"</f>
        <v>131.50</v>
      </c>
      <c r="F216" s="9"/>
      <c r="G216" s="9">
        <v>2017</v>
      </c>
      <c r="H216" s="10" t="str">
        <f>"112.46"</f>
        <v>112.46</v>
      </c>
      <c r="I216" s="10"/>
      <c r="J216" s="10"/>
      <c r="K216" s="10"/>
      <c r="L216" s="10"/>
      <c r="M216" s="10" t="str">
        <f>"131.20"</f>
        <v>131.20</v>
      </c>
      <c r="N216" s="10"/>
      <c r="O216" s="10" t="str">
        <f>"131.79"</f>
        <v>131.79</v>
      </c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 t="str">
        <f>"143.20"</f>
        <v>143.20</v>
      </c>
      <c r="AA216" s="10"/>
      <c r="AB216" s="10"/>
      <c r="AC216" s="10"/>
      <c r="AD216" s="10"/>
      <c r="AE216" s="10"/>
      <c r="AF216" s="10"/>
      <c r="AG216" s="10"/>
      <c r="AH216" s="10"/>
      <c r="AI216" s="10" t="str">
        <f>"158.16"</f>
        <v>158.16</v>
      </c>
      <c r="AJ216" s="10"/>
      <c r="AK216" s="10"/>
      <c r="AL216" s="10"/>
      <c r="AM216" s="10"/>
      <c r="AN216" s="10"/>
      <c r="AO216" s="10"/>
    </row>
    <row r="217" spans="1:41">
      <c r="A217" s="8">
        <v>215</v>
      </c>
      <c r="B217" s="8">
        <v>7504</v>
      </c>
      <c r="C217" s="8" t="s">
        <v>374</v>
      </c>
      <c r="D217" s="8" t="s">
        <v>68</v>
      </c>
      <c r="E217" s="2" t="str">
        <f>"131.63"</f>
        <v>131.63</v>
      </c>
      <c r="F217" s="9"/>
      <c r="G217" s="9">
        <v>2017</v>
      </c>
      <c r="H217" s="10" t="str">
        <f>"144.12"</f>
        <v>144.12</v>
      </c>
      <c r="I217" s="10"/>
      <c r="J217" s="10" t="str">
        <f>"138.71"</f>
        <v>138.71</v>
      </c>
      <c r="K217" s="10"/>
      <c r="L217" s="10" t="str">
        <f>"185.41"</f>
        <v>185.41</v>
      </c>
      <c r="M217" s="10" t="str">
        <f>"129.31"</f>
        <v>129.31</v>
      </c>
      <c r="N217" s="10"/>
      <c r="O217" s="10" t="str">
        <f>"133.94"</f>
        <v>133.94</v>
      </c>
      <c r="P217" s="10"/>
      <c r="Q217" s="10"/>
      <c r="R217" s="10"/>
      <c r="S217" s="10" t="str">
        <f>"202.42"</f>
        <v>202.42</v>
      </c>
      <c r="T217" s="10"/>
      <c r="U217" s="10"/>
      <c r="V217" s="10"/>
      <c r="W217" s="10"/>
      <c r="X217" s="10"/>
      <c r="Y217" s="10"/>
      <c r="Z217" s="10" t="str">
        <f>"184.18"</f>
        <v>184.18</v>
      </c>
      <c r="AA217" s="10"/>
      <c r="AB217" s="10"/>
      <c r="AC217" s="10"/>
      <c r="AD217" s="10"/>
      <c r="AE217" s="10"/>
      <c r="AF217" s="10"/>
      <c r="AG217" s="10"/>
      <c r="AH217" s="10" t="str">
        <f>"206.97"</f>
        <v>206.97</v>
      </c>
      <c r="AI217" s="10"/>
      <c r="AJ217" s="10"/>
      <c r="AK217" s="10"/>
      <c r="AL217" s="10" t="str">
        <f>"215.76"</f>
        <v>215.76</v>
      </c>
      <c r="AM217" s="10"/>
      <c r="AN217" s="10"/>
      <c r="AO217" s="10"/>
    </row>
    <row r="218" spans="1:41">
      <c r="A218" s="8">
        <v>216</v>
      </c>
      <c r="B218" s="8">
        <v>9967</v>
      </c>
      <c r="C218" s="8" t="s">
        <v>375</v>
      </c>
      <c r="D218" s="8" t="s">
        <v>15</v>
      </c>
      <c r="E218" s="2" t="str">
        <f>"131.75"</f>
        <v>131.75</v>
      </c>
      <c r="F218" s="9"/>
      <c r="G218" s="9">
        <v>2017</v>
      </c>
      <c r="H218" s="10" t="str">
        <f>"147.61"</f>
        <v>147.61</v>
      </c>
      <c r="I218" s="10" t="str">
        <f>"159.72"</f>
        <v>159.72</v>
      </c>
      <c r="J218" s="10"/>
      <c r="K218" s="10" t="str">
        <f>"129.50"</f>
        <v>129.50</v>
      </c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 t="str">
        <f>"133.99"</f>
        <v>133.99</v>
      </c>
      <c r="AJ218" s="10"/>
      <c r="AK218" s="10"/>
      <c r="AL218" s="10"/>
      <c r="AM218" s="10"/>
      <c r="AN218" s="10"/>
      <c r="AO218" s="10"/>
    </row>
    <row r="219" spans="1:41">
      <c r="A219" s="8">
        <v>217</v>
      </c>
      <c r="B219" s="8">
        <v>10277</v>
      </c>
      <c r="C219" s="8" t="s">
        <v>376</v>
      </c>
      <c r="D219" s="8" t="s">
        <v>12</v>
      </c>
      <c r="E219" s="2" t="str">
        <f>"132.49"</f>
        <v>132.49</v>
      </c>
      <c r="F219" s="9"/>
      <c r="G219" s="9">
        <v>2017</v>
      </c>
      <c r="H219" s="10" t="str">
        <f>"139.71"</f>
        <v>139.71</v>
      </c>
      <c r="I219" s="10"/>
      <c r="J219" s="10"/>
      <c r="K219" s="10" t="str">
        <f>"132.78"</f>
        <v>132.78</v>
      </c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 t="str">
        <f>"144.65"</f>
        <v>144.65</v>
      </c>
      <c r="AD219" s="10" t="str">
        <f>"132.19"</f>
        <v>132.19</v>
      </c>
      <c r="AE219" s="10"/>
      <c r="AF219" s="10"/>
      <c r="AG219" s="10"/>
      <c r="AH219" s="10"/>
      <c r="AI219" s="10" t="str">
        <f>"143.73"</f>
        <v>143.73</v>
      </c>
      <c r="AJ219" s="10"/>
      <c r="AK219" s="10"/>
      <c r="AL219" s="10"/>
      <c r="AM219" s="10"/>
      <c r="AN219" s="10"/>
      <c r="AO219" s="10"/>
    </row>
    <row r="220" spans="1:41">
      <c r="A220" s="8">
        <v>218</v>
      </c>
      <c r="B220" s="8">
        <v>5487</v>
      </c>
      <c r="C220" s="8" t="s">
        <v>377</v>
      </c>
      <c r="D220" s="8" t="s">
        <v>19</v>
      </c>
      <c r="E220" s="2" t="str">
        <f>"133.09"</f>
        <v>133.09</v>
      </c>
      <c r="F220" s="9"/>
      <c r="G220" s="9">
        <v>2017</v>
      </c>
      <c r="H220" s="10" t="str">
        <f>"199.09"</f>
        <v>199.09</v>
      </c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 t="str">
        <f>"175.09"</f>
        <v>175.09</v>
      </c>
      <c r="T220" s="10"/>
      <c r="U220" s="10"/>
      <c r="V220" s="10" t="str">
        <f>"159.71"</f>
        <v>159.71</v>
      </c>
      <c r="W220" s="10"/>
      <c r="X220" s="10"/>
      <c r="Y220" s="10" t="str">
        <f>"161.27"</f>
        <v>161.27</v>
      </c>
      <c r="Z220" s="10"/>
      <c r="AA220" s="10"/>
      <c r="AB220" s="10" t="str">
        <f>"172.92"</f>
        <v>172.92</v>
      </c>
      <c r="AC220" s="10"/>
      <c r="AD220" s="10"/>
      <c r="AE220" s="10"/>
      <c r="AF220" s="10"/>
      <c r="AG220" s="10"/>
      <c r="AH220" s="10"/>
      <c r="AI220" s="10" t="str">
        <f>"106.47"</f>
        <v>106.47</v>
      </c>
      <c r="AJ220" s="10"/>
      <c r="AK220" s="10"/>
      <c r="AL220" s="10"/>
      <c r="AM220" s="10"/>
      <c r="AN220" s="10"/>
      <c r="AO220" s="10"/>
    </row>
    <row r="221" spans="1:41">
      <c r="A221" s="8">
        <v>219</v>
      </c>
      <c r="B221" s="8">
        <v>10436</v>
      </c>
      <c r="C221" s="8" t="s">
        <v>378</v>
      </c>
      <c r="D221" s="8" t="s">
        <v>19</v>
      </c>
      <c r="E221" s="2" t="str">
        <f>"133.57"</f>
        <v>133.57</v>
      </c>
      <c r="F221" s="9"/>
      <c r="G221" s="9">
        <v>2017</v>
      </c>
      <c r="H221" s="10" t="str">
        <f>"305.08"</f>
        <v>305.08</v>
      </c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 t="str">
        <f>"266.11"</f>
        <v>266.11</v>
      </c>
      <c r="AC221" s="10" t="str">
        <f>"212.42"</f>
        <v>212.42</v>
      </c>
      <c r="AD221" s="10" t="str">
        <f>"211.00"</f>
        <v>211.00</v>
      </c>
      <c r="AE221" s="10"/>
      <c r="AF221" s="10"/>
      <c r="AG221" s="10"/>
      <c r="AH221" s="10"/>
      <c r="AI221" s="10"/>
      <c r="AJ221" s="10"/>
      <c r="AK221" s="10"/>
      <c r="AL221" s="10"/>
      <c r="AM221" s="10"/>
      <c r="AN221" s="10" t="str">
        <f>"124.02"</f>
        <v>124.02</v>
      </c>
      <c r="AO221" s="10" t="str">
        <f>"143.12"</f>
        <v>143.12</v>
      </c>
    </row>
    <row r="222" spans="1:41">
      <c r="A222" s="8">
        <v>220</v>
      </c>
      <c r="B222" s="8">
        <v>10313</v>
      </c>
      <c r="C222" s="8" t="s">
        <v>379</v>
      </c>
      <c r="D222" s="8" t="s">
        <v>25</v>
      </c>
      <c r="E222" s="2" t="str">
        <f>"133.75"</f>
        <v>133.75</v>
      </c>
      <c r="F222" s="9" t="s">
        <v>11</v>
      </c>
      <c r="G222" s="9">
        <v>2017</v>
      </c>
      <c r="H222" s="10" t="str">
        <f>"93.75"</f>
        <v>93.75</v>
      </c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</row>
    <row r="223" spans="1:41">
      <c r="A223" s="8">
        <v>221</v>
      </c>
      <c r="B223" s="8">
        <v>4896</v>
      </c>
      <c r="C223" s="8" t="s">
        <v>380</v>
      </c>
      <c r="D223" s="8" t="s">
        <v>42</v>
      </c>
      <c r="E223" s="2" t="str">
        <f>"134.14"</f>
        <v>134.14</v>
      </c>
      <c r="F223" s="9"/>
      <c r="G223" s="9">
        <v>2017</v>
      </c>
      <c r="H223" s="10" t="str">
        <f>"162.89"</f>
        <v>162.89</v>
      </c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 t="str">
        <f>"173.67"</f>
        <v>173.67</v>
      </c>
      <c r="AE223" s="10"/>
      <c r="AF223" s="10"/>
      <c r="AG223" s="10" t="str">
        <f>"108.10"</f>
        <v>108.10</v>
      </c>
      <c r="AH223" s="10"/>
      <c r="AI223" s="10" t="str">
        <f>"160.18"</f>
        <v>160.18</v>
      </c>
      <c r="AJ223" s="10"/>
      <c r="AK223" s="10"/>
      <c r="AL223" s="10"/>
      <c r="AM223" s="10"/>
      <c r="AN223" s="10"/>
      <c r="AO223" s="10"/>
    </row>
    <row r="224" spans="1:41">
      <c r="A224" s="8">
        <v>222</v>
      </c>
      <c r="B224" s="8">
        <v>1610</v>
      </c>
      <c r="C224" s="8" t="s">
        <v>381</v>
      </c>
      <c r="D224" s="8" t="s">
        <v>30</v>
      </c>
      <c r="E224" s="2" t="str">
        <f>"134.49"</f>
        <v>134.49</v>
      </c>
      <c r="F224" s="9"/>
      <c r="G224" s="9">
        <v>2017</v>
      </c>
      <c r="H224" s="10" t="str">
        <f>"108.83"</f>
        <v>108.83</v>
      </c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 t="str">
        <f>"163.45"</f>
        <v>163.45</v>
      </c>
      <c r="T224" s="10"/>
      <c r="U224" s="10"/>
      <c r="V224" s="10"/>
      <c r="W224" s="10"/>
      <c r="X224" s="10"/>
      <c r="Y224" s="10"/>
      <c r="Z224" s="10" t="str">
        <f>"139.60"</f>
        <v>139.60</v>
      </c>
      <c r="AA224" s="10"/>
      <c r="AB224" s="10"/>
      <c r="AC224" s="10"/>
      <c r="AD224" s="10"/>
      <c r="AE224" s="10"/>
      <c r="AF224" s="10"/>
      <c r="AG224" s="10" t="str">
        <f>"129.38"</f>
        <v>129.38</v>
      </c>
      <c r="AH224" s="10"/>
      <c r="AI224" s="10"/>
      <c r="AJ224" s="10"/>
      <c r="AK224" s="10"/>
      <c r="AL224" s="10"/>
      <c r="AM224" s="10"/>
      <c r="AN224" s="10"/>
      <c r="AO224" s="10"/>
    </row>
    <row r="225" spans="1:41">
      <c r="A225" s="8">
        <v>223</v>
      </c>
      <c r="B225" s="8">
        <v>550</v>
      </c>
      <c r="C225" s="8" t="s">
        <v>382</v>
      </c>
      <c r="D225" s="8" t="s">
        <v>336</v>
      </c>
      <c r="E225" s="2" t="str">
        <f>"134.93"</f>
        <v>134.93</v>
      </c>
      <c r="F225" s="9"/>
      <c r="G225" s="9">
        <v>2017</v>
      </c>
      <c r="H225" s="10" t="str">
        <f>"206.23"</f>
        <v>206.23</v>
      </c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 t="str">
        <f>"182.51"</f>
        <v>182.51</v>
      </c>
      <c r="T225" s="10"/>
      <c r="U225" s="10"/>
      <c r="V225" s="10"/>
      <c r="W225" s="10"/>
      <c r="X225" s="10"/>
      <c r="Y225" s="10"/>
      <c r="Z225" s="10"/>
      <c r="AA225" s="10"/>
      <c r="AB225" s="10"/>
      <c r="AC225" s="10" t="str">
        <f>"189.63"</f>
        <v>189.63</v>
      </c>
      <c r="AD225" s="10" t="str">
        <f>"155.11"</f>
        <v>155.11</v>
      </c>
      <c r="AE225" s="10"/>
      <c r="AF225" s="10"/>
      <c r="AG225" s="10" t="str">
        <f>"114.74"</f>
        <v>114.74</v>
      </c>
      <c r="AH225" s="10" t="str">
        <f>"181.60"</f>
        <v>181.60</v>
      </c>
      <c r="AI225" s="10"/>
      <c r="AJ225" s="10"/>
      <c r="AK225" s="10"/>
      <c r="AL225" s="10"/>
      <c r="AM225" s="10"/>
      <c r="AN225" s="10"/>
      <c r="AO225" s="10"/>
    </row>
    <row r="226" spans="1:41">
      <c r="A226" s="8">
        <v>224</v>
      </c>
      <c r="B226" s="8">
        <v>3900</v>
      </c>
      <c r="C226" s="8" t="s">
        <v>383</v>
      </c>
      <c r="D226" s="8" t="s">
        <v>93</v>
      </c>
      <c r="E226" s="2" t="str">
        <f>"135.01"</f>
        <v>135.01</v>
      </c>
      <c r="F226" s="9" t="s">
        <v>9</v>
      </c>
      <c r="G226" s="9">
        <v>2017</v>
      </c>
      <c r="H226" s="10" t="str">
        <f>"48.15"</f>
        <v>48.15</v>
      </c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 t="str">
        <f>"95.01"</f>
        <v>95.01</v>
      </c>
      <c r="AM226" s="10"/>
      <c r="AN226" s="10"/>
      <c r="AO226" s="10"/>
    </row>
    <row r="227" spans="1:41">
      <c r="A227" s="8">
        <v>225</v>
      </c>
      <c r="B227" s="8">
        <v>4599</v>
      </c>
      <c r="C227" s="8" t="s">
        <v>384</v>
      </c>
      <c r="D227" s="8" t="s">
        <v>84</v>
      </c>
      <c r="E227" s="2" t="str">
        <f>"135.06"</f>
        <v>135.06</v>
      </c>
      <c r="F227" s="9"/>
      <c r="G227" s="9">
        <v>2017</v>
      </c>
      <c r="H227" s="10" t="str">
        <f>"169.98"</f>
        <v>169.98</v>
      </c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 t="str">
        <f>"140.25"</f>
        <v>140.25</v>
      </c>
      <c r="AD227" s="10" t="str">
        <f>"156.64"</f>
        <v>156.64</v>
      </c>
      <c r="AE227" s="10"/>
      <c r="AF227" s="10"/>
      <c r="AG227" s="10" t="str">
        <f>"129.87"</f>
        <v>129.87</v>
      </c>
      <c r="AH227" s="10"/>
      <c r="AI227" s="10" t="str">
        <f>"162.86"</f>
        <v>162.86</v>
      </c>
      <c r="AJ227" s="10"/>
      <c r="AK227" s="10"/>
      <c r="AL227" s="10"/>
      <c r="AM227" s="10"/>
      <c r="AN227" s="10"/>
      <c r="AO227" s="10"/>
    </row>
    <row r="228" spans="1:41">
      <c r="A228" s="8">
        <v>226</v>
      </c>
      <c r="B228" s="8">
        <v>6180</v>
      </c>
      <c r="C228" s="8" t="s">
        <v>385</v>
      </c>
      <c r="D228" s="8" t="s">
        <v>186</v>
      </c>
      <c r="E228" s="2" t="str">
        <f>"135.23"</f>
        <v>135.23</v>
      </c>
      <c r="F228" s="9"/>
      <c r="G228" s="9">
        <v>2017</v>
      </c>
      <c r="H228" s="10" t="str">
        <f>"183.92"</f>
        <v>183.92</v>
      </c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 t="str">
        <f>"166.81"</f>
        <v>166.81</v>
      </c>
      <c r="T228" s="10"/>
      <c r="U228" s="10"/>
      <c r="V228" s="10"/>
      <c r="W228" s="10"/>
      <c r="X228" s="10"/>
      <c r="Y228" s="10"/>
      <c r="Z228" s="10"/>
      <c r="AA228" s="10"/>
      <c r="AB228" s="10"/>
      <c r="AC228" s="10" t="str">
        <f>"131.06"</f>
        <v>131.06</v>
      </c>
      <c r="AD228" s="10" t="str">
        <f>"139.39"</f>
        <v>139.39</v>
      </c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</row>
    <row r="229" spans="1:41">
      <c r="A229" s="8">
        <v>227</v>
      </c>
      <c r="B229" s="8">
        <v>10087</v>
      </c>
      <c r="C229" s="8" t="s">
        <v>386</v>
      </c>
      <c r="D229" s="8" t="s">
        <v>47</v>
      </c>
      <c r="E229" s="2" t="str">
        <f>"135.59"</f>
        <v>135.59</v>
      </c>
      <c r="F229" s="9"/>
      <c r="G229" s="9">
        <v>2017</v>
      </c>
      <c r="H229" s="10" t="str">
        <f>"130.69"</f>
        <v>130.69</v>
      </c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 t="str">
        <f>"123.06"</f>
        <v>123.06</v>
      </c>
      <c r="AD229" s="10" t="str">
        <f>"148.12"</f>
        <v>148.12</v>
      </c>
      <c r="AE229" s="10"/>
      <c r="AF229" s="10"/>
      <c r="AG229" s="10"/>
      <c r="AH229" s="10"/>
      <c r="AI229" s="10" t="str">
        <f>"169.74"</f>
        <v>169.74</v>
      </c>
      <c r="AJ229" s="10"/>
      <c r="AK229" s="10"/>
      <c r="AL229" s="10"/>
      <c r="AM229" s="10"/>
      <c r="AN229" s="10"/>
      <c r="AO229" s="10"/>
    </row>
    <row r="230" spans="1:41">
      <c r="A230" s="8">
        <v>228</v>
      </c>
      <c r="B230" s="8">
        <v>11346</v>
      </c>
      <c r="C230" s="8" t="s">
        <v>387</v>
      </c>
      <c r="D230" s="8" t="s">
        <v>12</v>
      </c>
      <c r="E230" s="2" t="str">
        <f>"135.60"</f>
        <v>135.60</v>
      </c>
      <c r="F230" s="9"/>
      <c r="G230" s="9">
        <v>2017</v>
      </c>
      <c r="H230" s="10"/>
      <c r="I230" s="10" t="str">
        <f>"145.06"</f>
        <v>145.06</v>
      </c>
      <c r="J230" s="10"/>
      <c r="K230" s="10" t="str">
        <f>"130.32"</f>
        <v>130.32</v>
      </c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 t="str">
        <f>"158.60"</f>
        <v>158.60</v>
      </c>
      <c r="AE230" s="10"/>
      <c r="AF230" s="10"/>
      <c r="AG230" s="10"/>
      <c r="AH230" s="10"/>
      <c r="AI230" s="10" t="str">
        <f>"140.87"</f>
        <v>140.87</v>
      </c>
      <c r="AJ230" s="10"/>
      <c r="AK230" s="10"/>
      <c r="AL230" s="10"/>
      <c r="AM230" s="10"/>
      <c r="AN230" s="10"/>
      <c r="AO230" s="10"/>
    </row>
    <row r="231" spans="1:41">
      <c r="A231" s="8">
        <v>229</v>
      </c>
      <c r="B231" s="8">
        <v>8438</v>
      </c>
      <c r="C231" s="8" t="s">
        <v>388</v>
      </c>
      <c r="D231" s="8" t="s">
        <v>49</v>
      </c>
      <c r="E231" s="2" t="str">
        <f>"136.03"</f>
        <v>136.03</v>
      </c>
      <c r="F231" s="9"/>
      <c r="G231" s="9">
        <v>2017</v>
      </c>
      <c r="H231" s="10" t="str">
        <f>"252.90"</f>
        <v>252.90</v>
      </c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 t="str">
        <f>"239.71"</f>
        <v>239.71</v>
      </c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 t="str">
        <f>"148.93"</f>
        <v>148.93</v>
      </c>
      <c r="AJ231" s="10" t="str">
        <f>"123.13"</f>
        <v>123.13</v>
      </c>
      <c r="AK231" s="10"/>
      <c r="AL231" s="10"/>
      <c r="AM231" s="10"/>
      <c r="AN231" s="10"/>
      <c r="AO231" s="10"/>
    </row>
    <row r="232" spans="1:41">
      <c r="A232" s="8">
        <v>230</v>
      </c>
      <c r="B232" s="8">
        <v>7210</v>
      </c>
      <c r="C232" s="8" t="s">
        <v>389</v>
      </c>
      <c r="D232" s="8" t="s">
        <v>390</v>
      </c>
      <c r="E232" s="2" t="str">
        <f>"136.86"</f>
        <v>136.86</v>
      </c>
      <c r="F232" s="9" t="s">
        <v>9</v>
      </c>
      <c r="G232" s="9">
        <v>2017</v>
      </c>
      <c r="H232" s="10" t="str">
        <f>"118.12"</f>
        <v>118.12</v>
      </c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 t="str">
        <f>"96.86"</f>
        <v>96.86</v>
      </c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</row>
    <row r="233" spans="1:41">
      <c r="A233" s="8">
        <v>231</v>
      </c>
      <c r="B233" s="8">
        <v>7788</v>
      </c>
      <c r="C233" s="8" t="s">
        <v>391</v>
      </c>
      <c r="D233" s="8" t="s">
        <v>14</v>
      </c>
      <c r="E233" s="2" t="str">
        <f>"137.69"</f>
        <v>137.69</v>
      </c>
      <c r="F233" s="9"/>
      <c r="G233" s="9">
        <v>2017</v>
      </c>
      <c r="H233" s="10" t="str">
        <f>"120.83"</f>
        <v>120.83</v>
      </c>
      <c r="I233" s="10"/>
      <c r="J233" s="10" t="str">
        <f>"148.91"</f>
        <v>148.91</v>
      </c>
      <c r="K233" s="10"/>
      <c r="L233" s="10" t="str">
        <f>"164.46"</f>
        <v>164.46</v>
      </c>
      <c r="M233" s="10"/>
      <c r="N233" s="10"/>
      <c r="O233" s="10"/>
      <c r="P233" s="10"/>
      <c r="Q233" s="10"/>
      <c r="R233" s="10"/>
      <c r="S233" s="10" t="str">
        <f>"133.73"</f>
        <v>133.73</v>
      </c>
      <c r="T233" s="10"/>
      <c r="U233" s="10"/>
      <c r="V233" s="10"/>
      <c r="W233" s="10"/>
      <c r="X233" s="10"/>
      <c r="Y233" s="10"/>
      <c r="Z233" s="10"/>
      <c r="AA233" s="10"/>
      <c r="AB233" s="10"/>
      <c r="AC233" s="10" t="str">
        <f>"141.65"</f>
        <v>141.65</v>
      </c>
      <c r="AD233" s="10" t="str">
        <f>"176.72"</f>
        <v>176.72</v>
      </c>
      <c r="AE233" s="10"/>
      <c r="AF233" s="10"/>
      <c r="AG233" s="10"/>
      <c r="AH233" s="10"/>
      <c r="AI233" s="10" t="str">
        <f>"146.41"</f>
        <v>146.41</v>
      </c>
      <c r="AJ233" s="10"/>
      <c r="AK233" s="10"/>
      <c r="AL233" s="10"/>
      <c r="AM233" s="10"/>
      <c r="AN233" s="10"/>
      <c r="AO233" s="10"/>
    </row>
    <row r="234" spans="1:41">
      <c r="A234" s="8">
        <v>232</v>
      </c>
      <c r="B234" s="8">
        <v>4039</v>
      </c>
      <c r="C234" s="8" t="s">
        <v>392</v>
      </c>
      <c r="D234" s="8" t="s">
        <v>51</v>
      </c>
      <c r="E234" s="2" t="str">
        <f>"138.12"</f>
        <v>138.12</v>
      </c>
      <c r="F234" s="9"/>
      <c r="G234" s="9">
        <v>2017</v>
      </c>
      <c r="H234" s="10" t="str">
        <f>"136.35"</f>
        <v>136.35</v>
      </c>
      <c r="I234" s="10"/>
      <c r="J234" s="10"/>
      <c r="K234" s="10"/>
      <c r="L234" s="10" t="str">
        <f>"124.34"</f>
        <v>124.34</v>
      </c>
      <c r="M234" s="10"/>
      <c r="N234" s="10" t="str">
        <f>"175.74"</f>
        <v>175.74</v>
      </c>
      <c r="O234" s="10"/>
      <c r="P234" s="10" t="str">
        <f>"151.90"</f>
        <v>151.90</v>
      </c>
      <c r="Q234" s="10"/>
      <c r="R234" s="10"/>
      <c r="S234" s="10" t="str">
        <f>"206.06"</f>
        <v>206.06</v>
      </c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</row>
    <row r="235" spans="1:41">
      <c r="A235" s="8">
        <v>233</v>
      </c>
      <c r="B235" s="8">
        <v>11234</v>
      </c>
      <c r="C235" s="8" t="s">
        <v>393</v>
      </c>
      <c r="D235" s="8" t="s">
        <v>10</v>
      </c>
      <c r="E235" s="2" t="str">
        <f>"138.50"</f>
        <v>138.50</v>
      </c>
      <c r="F235" s="9"/>
      <c r="G235" s="9">
        <v>2017</v>
      </c>
      <c r="H235" s="10"/>
      <c r="I235" s="10" t="str">
        <f>"157.30"</f>
        <v>157.30</v>
      </c>
      <c r="J235" s="10"/>
      <c r="K235" s="10"/>
      <c r="L235" s="10"/>
      <c r="M235" s="10"/>
      <c r="N235" s="10"/>
      <c r="O235" s="10"/>
      <c r="P235" s="10"/>
      <c r="Q235" s="10" t="str">
        <f>"168.27"</f>
        <v>168.27</v>
      </c>
      <c r="R235" s="10" t="str">
        <f>"166.48"</f>
        <v>166.48</v>
      </c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 t="str">
        <f>"119.70"</f>
        <v>119.70</v>
      </c>
      <c r="AK235" s="10"/>
      <c r="AL235" s="10"/>
      <c r="AM235" s="10"/>
      <c r="AN235" s="10"/>
      <c r="AO235" s="10"/>
    </row>
    <row r="236" spans="1:41">
      <c r="A236" s="8">
        <v>234</v>
      </c>
      <c r="B236" s="8">
        <v>2636</v>
      </c>
      <c r="C236" s="8" t="s">
        <v>394</v>
      </c>
      <c r="D236" s="8" t="s">
        <v>42</v>
      </c>
      <c r="E236" s="2" t="str">
        <f>"139.22"</f>
        <v>139.22</v>
      </c>
      <c r="F236" s="9"/>
      <c r="G236" s="9">
        <v>2017</v>
      </c>
      <c r="H236" s="10" t="str">
        <f>"119.41"</f>
        <v>119.41</v>
      </c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 t="str">
        <f>"153.22"</f>
        <v>153.22</v>
      </c>
      <c r="T236" s="10"/>
      <c r="U236" s="10"/>
      <c r="V236" s="10"/>
      <c r="W236" s="10"/>
      <c r="X236" s="10"/>
      <c r="Y236" s="10"/>
      <c r="Z236" s="10" t="str">
        <f>"125.21"</f>
        <v>125.21</v>
      </c>
      <c r="AA236" s="10"/>
      <c r="AB236" s="10"/>
      <c r="AC236" s="10"/>
      <c r="AD236" s="10"/>
      <c r="AE236" s="10"/>
      <c r="AF236" s="10"/>
      <c r="AG236" s="10"/>
      <c r="AH236" s="10" t="str">
        <f>"183.58"</f>
        <v>183.58</v>
      </c>
      <c r="AI236" s="10"/>
      <c r="AJ236" s="10"/>
      <c r="AK236" s="10"/>
      <c r="AL236" s="10"/>
      <c r="AM236" s="10"/>
      <c r="AN236" s="10"/>
      <c r="AO236" s="10"/>
    </row>
    <row r="237" spans="1:41">
      <c r="A237" s="8">
        <v>235</v>
      </c>
      <c r="B237" s="8">
        <v>5871</v>
      </c>
      <c r="C237" s="8" t="s">
        <v>395</v>
      </c>
      <c r="D237" s="8" t="s">
        <v>396</v>
      </c>
      <c r="E237" s="2" t="str">
        <f>"139.28"</f>
        <v>139.28</v>
      </c>
      <c r="F237" s="9"/>
      <c r="G237" s="9">
        <v>2017</v>
      </c>
      <c r="H237" s="10" t="str">
        <f>"158.86"</f>
        <v>158.86</v>
      </c>
      <c r="I237" s="10"/>
      <c r="J237" s="10" t="str">
        <f>"142.45"</f>
        <v>142.45</v>
      </c>
      <c r="K237" s="10"/>
      <c r="L237" s="10" t="str">
        <f>"145.57"</f>
        <v>145.57</v>
      </c>
      <c r="M237" s="10"/>
      <c r="N237" s="10"/>
      <c r="O237" s="10"/>
      <c r="P237" s="10"/>
      <c r="Q237" s="10"/>
      <c r="R237" s="10"/>
      <c r="S237" s="10" t="str">
        <f>"235.08"</f>
        <v>235.08</v>
      </c>
      <c r="T237" s="10"/>
      <c r="U237" s="10"/>
      <c r="V237" s="10"/>
      <c r="W237" s="10"/>
      <c r="X237" s="10"/>
      <c r="Y237" s="10"/>
      <c r="Z237" s="10" t="str">
        <f>"157.90"</f>
        <v>157.90</v>
      </c>
      <c r="AA237" s="10"/>
      <c r="AB237" s="10"/>
      <c r="AC237" s="10" t="str">
        <f>"180.24"</f>
        <v>180.24</v>
      </c>
      <c r="AD237" s="10" t="str">
        <f>"169.95"</f>
        <v>169.95</v>
      </c>
      <c r="AE237" s="10"/>
      <c r="AF237" s="10"/>
      <c r="AG237" s="10" t="str">
        <f>"136.11"</f>
        <v>136.11</v>
      </c>
      <c r="AH237" s="10"/>
      <c r="AI237" s="10" t="str">
        <f>"317.44"</f>
        <v>317.44</v>
      </c>
      <c r="AJ237" s="10"/>
      <c r="AK237" s="10"/>
      <c r="AL237" s="10"/>
      <c r="AM237" s="10"/>
      <c r="AN237" s="10"/>
      <c r="AO237" s="10"/>
    </row>
    <row r="238" spans="1:41">
      <c r="A238" s="8">
        <v>236</v>
      </c>
      <c r="B238" s="8">
        <v>2519</v>
      </c>
      <c r="C238" s="8" t="s">
        <v>397</v>
      </c>
      <c r="D238" s="8" t="s">
        <v>99</v>
      </c>
      <c r="E238" s="2" t="str">
        <f>"139.38"</f>
        <v>139.38</v>
      </c>
      <c r="F238" s="9"/>
      <c r="G238" s="9">
        <v>2017</v>
      </c>
      <c r="H238" s="10" t="str">
        <f>"112.17"</f>
        <v>112.17</v>
      </c>
      <c r="I238" s="10"/>
      <c r="J238" s="10"/>
      <c r="K238" s="10"/>
      <c r="L238" s="10"/>
      <c r="M238" s="10" t="str">
        <f>"145.47"</f>
        <v>145.47</v>
      </c>
      <c r="N238" s="10"/>
      <c r="O238" s="10" t="str">
        <f>"133.28"</f>
        <v>133.28</v>
      </c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</row>
    <row r="239" spans="1:41">
      <c r="A239" s="8">
        <v>237</v>
      </c>
      <c r="B239" s="8">
        <v>1108</v>
      </c>
      <c r="C239" s="8" t="s">
        <v>398</v>
      </c>
      <c r="D239" s="8" t="s">
        <v>64</v>
      </c>
      <c r="E239" s="2" t="str">
        <f>"139.50"</f>
        <v>139.50</v>
      </c>
      <c r="F239" s="9"/>
      <c r="G239" s="9">
        <v>2017</v>
      </c>
      <c r="H239" s="10" t="str">
        <f>"156.75"</f>
        <v>156.75</v>
      </c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 t="str">
        <f>"157.28"</f>
        <v>157.28</v>
      </c>
      <c r="AA239" s="10"/>
      <c r="AB239" s="10"/>
      <c r="AC239" s="10" t="str">
        <f>"142.45"</f>
        <v>142.45</v>
      </c>
      <c r="AD239" s="10" t="str">
        <f>"136.55"</f>
        <v>136.55</v>
      </c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</row>
    <row r="240" spans="1:41">
      <c r="A240" s="8">
        <v>238</v>
      </c>
      <c r="B240" s="8">
        <v>4218</v>
      </c>
      <c r="C240" s="8" t="s">
        <v>399</v>
      </c>
      <c r="D240" s="8" t="s">
        <v>14</v>
      </c>
      <c r="E240" s="2" t="str">
        <f>"140.27"</f>
        <v>140.27</v>
      </c>
      <c r="F240" s="9" t="s">
        <v>11</v>
      </c>
      <c r="G240" s="9">
        <v>2017</v>
      </c>
      <c r="H240" s="10" t="str">
        <f>"100.27"</f>
        <v>100.27</v>
      </c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</row>
    <row r="241" spans="1:41">
      <c r="A241" s="8">
        <v>239</v>
      </c>
      <c r="B241" s="8">
        <v>8319</v>
      </c>
      <c r="C241" s="8" t="s">
        <v>400</v>
      </c>
      <c r="D241" s="8" t="s">
        <v>37</v>
      </c>
      <c r="E241" s="2" t="str">
        <f>"140.55"</f>
        <v>140.55</v>
      </c>
      <c r="F241" s="9"/>
      <c r="G241" s="9">
        <v>2017</v>
      </c>
      <c r="H241" s="10" t="str">
        <f>"81.47"</f>
        <v>81.47</v>
      </c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 t="str">
        <f>"134.71"</f>
        <v>134.71</v>
      </c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 t="str">
        <f>"146.39"</f>
        <v>146.39</v>
      </c>
      <c r="AM241" s="10"/>
      <c r="AN241" s="10"/>
      <c r="AO241" s="10"/>
    </row>
    <row r="242" spans="1:41">
      <c r="A242" s="8">
        <v>240</v>
      </c>
      <c r="B242" s="8">
        <v>10444</v>
      </c>
      <c r="C242" s="8" t="s">
        <v>401</v>
      </c>
      <c r="D242" s="8" t="s">
        <v>19</v>
      </c>
      <c r="E242" s="2" t="str">
        <f>"140.74"</f>
        <v>140.74</v>
      </c>
      <c r="F242" s="9"/>
      <c r="G242" s="9">
        <v>2017</v>
      </c>
      <c r="H242" s="10" t="str">
        <f>"225.75"</f>
        <v>225.75</v>
      </c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 t="str">
        <f>"186.47"</f>
        <v>186.47</v>
      </c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 t="str">
        <f>"130.51"</f>
        <v>130.51</v>
      </c>
      <c r="AO242" s="10" t="str">
        <f>"150.96"</f>
        <v>150.96</v>
      </c>
    </row>
    <row r="243" spans="1:41">
      <c r="A243" s="8">
        <v>241</v>
      </c>
      <c r="B243" s="8">
        <v>6757</v>
      </c>
      <c r="C243" s="8" t="s">
        <v>402</v>
      </c>
      <c r="D243" s="8" t="s">
        <v>93</v>
      </c>
      <c r="E243" s="2" t="str">
        <f>"140.88"</f>
        <v>140.88</v>
      </c>
      <c r="F243" s="9"/>
      <c r="G243" s="9">
        <v>2017</v>
      </c>
      <c r="H243" s="10" t="str">
        <f>"145.18"</f>
        <v>145.18</v>
      </c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 t="str">
        <f>"127.87"</f>
        <v>127.87</v>
      </c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 t="str">
        <f>"153.89"</f>
        <v>153.89</v>
      </c>
      <c r="AM243" s="10"/>
      <c r="AN243" s="10"/>
      <c r="AO243" s="10"/>
    </row>
    <row r="244" spans="1:41">
      <c r="A244" s="8">
        <v>242</v>
      </c>
      <c r="B244" s="8">
        <v>7024</v>
      </c>
      <c r="C244" s="8" t="s">
        <v>403</v>
      </c>
      <c r="D244" s="8" t="s">
        <v>24</v>
      </c>
      <c r="E244" s="2" t="str">
        <f>"140.94"</f>
        <v>140.94</v>
      </c>
      <c r="F244" s="9"/>
      <c r="G244" s="9">
        <v>2017</v>
      </c>
      <c r="H244" s="10" t="str">
        <f>"175.75"</f>
        <v>175.75</v>
      </c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 t="str">
        <f>"149.57"</f>
        <v>149.57</v>
      </c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 t="str">
        <f>"132.31"</f>
        <v>132.31</v>
      </c>
      <c r="AJ244" s="10"/>
      <c r="AK244" s="10"/>
      <c r="AL244" s="10"/>
      <c r="AM244" s="10"/>
      <c r="AN244" s="10"/>
      <c r="AO244" s="10"/>
    </row>
    <row r="245" spans="1:41">
      <c r="A245" s="8">
        <v>243</v>
      </c>
      <c r="B245" s="8">
        <v>5279</v>
      </c>
      <c r="C245" s="8" t="s">
        <v>404</v>
      </c>
      <c r="D245" s="8" t="s">
        <v>8</v>
      </c>
      <c r="E245" s="2" t="str">
        <f>"141.07"</f>
        <v>141.07</v>
      </c>
      <c r="F245" s="9" t="s">
        <v>11</v>
      </c>
      <c r="G245" s="9">
        <v>2017</v>
      </c>
      <c r="H245" s="10" t="str">
        <f>"101.07"</f>
        <v>101.07</v>
      </c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</row>
    <row r="246" spans="1:41">
      <c r="A246" s="8">
        <v>244</v>
      </c>
      <c r="B246" s="8">
        <v>3684</v>
      </c>
      <c r="C246" s="8" t="s">
        <v>406</v>
      </c>
      <c r="D246" s="8" t="s">
        <v>54</v>
      </c>
      <c r="E246" s="2" t="str">
        <f>"141.29"</f>
        <v>141.29</v>
      </c>
      <c r="F246" s="9"/>
      <c r="G246" s="9">
        <v>2017</v>
      </c>
      <c r="H246" s="10" t="str">
        <f>"142.04"</f>
        <v>142.04</v>
      </c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 t="str">
        <f>"195.76"</f>
        <v>195.76</v>
      </c>
      <c r="AA246" s="10"/>
      <c r="AB246" s="10"/>
      <c r="AC246" s="10"/>
      <c r="AD246" s="10"/>
      <c r="AE246" s="10"/>
      <c r="AF246" s="10"/>
      <c r="AG246" s="10"/>
      <c r="AH246" s="10" t="str">
        <f>"190.50"</f>
        <v>190.50</v>
      </c>
      <c r="AI246" s="10" t="str">
        <f>"138.86"</f>
        <v>138.86</v>
      </c>
      <c r="AJ246" s="10" t="str">
        <f>"143.71"</f>
        <v>143.71</v>
      </c>
      <c r="AK246" s="10"/>
      <c r="AL246" s="10"/>
      <c r="AM246" s="10"/>
      <c r="AN246" s="10"/>
      <c r="AO246" s="10"/>
    </row>
    <row r="247" spans="1:41">
      <c r="A247" s="8">
        <v>245</v>
      </c>
      <c r="B247" s="8">
        <v>7609</v>
      </c>
      <c r="C247" s="8" t="s">
        <v>407</v>
      </c>
      <c r="D247" s="8" t="s">
        <v>286</v>
      </c>
      <c r="E247" s="2" t="str">
        <f>"141.41"</f>
        <v>141.41</v>
      </c>
      <c r="F247" s="9"/>
      <c r="G247" s="9">
        <v>2017</v>
      </c>
      <c r="H247" s="10" t="str">
        <f>"174.93"</f>
        <v>174.93</v>
      </c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 t="str">
        <f>"144.29"</f>
        <v>144.29</v>
      </c>
      <c r="AA247" s="10"/>
      <c r="AB247" s="10"/>
      <c r="AC247" s="10"/>
      <c r="AD247" s="10"/>
      <c r="AE247" s="10"/>
      <c r="AF247" s="10"/>
      <c r="AG247" s="10"/>
      <c r="AH247" s="10"/>
      <c r="AI247" s="10" t="str">
        <f>"138.52"</f>
        <v>138.52</v>
      </c>
      <c r="AJ247" s="10"/>
      <c r="AK247" s="10"/>
      <c r="AL247" s="10"/>
      <c r="AM247" s="10"/>
      <c r="AN247" s="10"/>
      <c r="AO247" s="10"/>
    </row>
    <row r="248" spans="1:41">
      <c r="A248" s="8">
        <v>246</v>
      </c>
      <c r="B248" s="8">
        <v>1241</v>
      </c>
      <c r="C248" s="8" t="s">
        <v>409</v>
      </c>
      <c r="D248" s="8" t="s">
        <v>186</v>
      </c>
      <c r="E248" s="2" t="str">
        <f>"142.66"</f>
        <v>142.66</v>
      </c>
      <c r="F248" s="9"/>
      <c r="G248" s="9">
        <v>2017</v>
      </c>
      <c r="H248" s="10" t="str">
        <f>"170.69"</f>
        <v>170.69</v>
      </c>
      <c r="I248" s="10"/>
      <c r="J248" s="10" t="str">
        <f>"161.70"</f>
        <v>161.70</v>
      </c>
      <c r="K248" s="10"/>
      <c r="L248" s="10" t="str">
        <f>"191.62"</f>
        <v>191.62</v>
      </c>
      <c r="M248" s="10"/>
      <c r="N248" s="10"/>
      <c r="O248" s="10"/>
      <c r="P248" s="10"/>
      <c r="Q248" s="10"/>
      <c r="R248" s="10"/>
      <c r="S248" s="10" t="str">
        <f>"192.89"</f>
        <v>192.89</v>
      </c>
      <c r="T248" s="10"/>
      <c r="U248" s="10"/>
      <c r="V248" s="10"/>
      <c r="W248" s="10"/>
      <c r="X248" s="10"/>
      <c r="Y248" s="10"/>
      <c r="Z248" s="10"/>
      <c r="AA248" s="10"/>
      <c r="AB248" s="10"/>
      <c r="AC248" s="10" t="str">
        <f>"232.62"</f>
        <v>232.62</v>
      </c>
      <c r="AD248" s="10" t="str">
        <f>"162.10"</f>
        <v>162.10</v>
      </c>
      <c r="AE248" s="10"/>
      <c r="AF248" s="10"/>
      <c r="AG248" s="10" t="str">
        <f>"123.62"</f>
        <v>123.62</v>
      </c>
      <c r="AH248" s="10"/>
      <c r="AI248" s="10" t="str">
        <f>"171.59"</f>
        <v>171.59</v>
      </c>
      <c r="AJ248" s="10"/>
      <c r="AK248" s="10"/>
      <c r="AL248" s="10"/>
      <c r="AM248" s="10"/>
      <c r="AN248" s="10"/>
      <c r="AO248" s="10"/>
    </row>
    <row r="249" spans="1:41">
      <c r="A249" s="8">
        <v>247</v>
      </c>
      <c r="B249" s="8">
        <v>3954</v>
      </c>
      <c r="C249" s="8" t="s">
        <v>410</v>
      </c>
      <c r="D249" s="8" t="s">
        <v>147</v>
      </c>
      <c r="E249" s="2" t="str">
        <f>"142.79"</f>
        <v>142.79</v>
      </c>
      <c r="F249" s="9"/>
      <c r="G249" s="9">
        <v>2017</v>
      </c>
      <c r="H249" s="10" t="str">
        <f>"108.38"</f>
        <v>108.38</v>
      </c>
      <c r="I249" s="10"/>
      <c r="J249" s="10"/>
      <c r="K249" s="10"/>
      <c r="L249" s="10"/>
      <c r="M249" s="10"/>
      <c r="N249" s="10" t="str">
        <f>"173.54"</f>
        <v>173.54</v>
      </c>
      <c r="O249" s="10"/>
      <c r="P249" s="10" t="str">
        <f>"146.79"</f>
        <v>146.79</v>
      </c>
      <c r="Q249" s="10"/>
      <c r="R249" s="10"/>
      <c r="S249" s="10"/>
      <c r="T249" s="10" t="str">
        <f>"166.48"</f>
        <v>166.48</v>
      </c>
      <c r="U249" s="10"/>
      <c r="V249" s="10"/>
      <c r="W249" s="10"/>
      <c r="X249" s="10"/>
      <c r="Y249" s="10"/>
      <c r="Z249" s="10"/>
      <c r="AA249" s="10" t="str">
        <f>"138.79"</f>
        <v>138.79</v>
      </c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</row>
    <row r="250" spans="1:41">
      <c r="A250" s="8">
        <v>248</v>
      </c>
      <c r="B250" s="8">
        <v>8628</v>
      </c>
      <c r="C250" s="8" t="s">
        <v>411</v>
      </c>
      <c r="D250" s="8" t="s">
        <v>10</v>
      </c>
      <c r="E250" s="2" t="str">
        <f>"142.81"</f>
        <v>142.81</v>
      </c>
      <c r="F250" s="9"/>
      <c r="G250" s="9">
        <v>2017</v>
      </c>
      <c r="H250" s="10" t="str">
        <f>"241.75"</f>
        <v>241.75</v>
      </c>
      <c r="I250" s="10"/>
      <c r="J250" s="10"/>
      <c r="K250" s="10"/>
      <c r="L250" s="10"/>
      <c r="M250" s="10"/>
      <c r="N250" s="10"/>
      <c r="O250" s="10"/>
      <c r="P250" s="10"/>
      <c r="Q250" s="10" t="str">
        <f>"150.00"</f>
        <v>150.00</v>
      </c>
      <c r="R250" s="10" t="str">
        <f>"135.61"</f>
        <v>135.61</v>
      </c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</row>
    <row r="251" spans="1:41">
      <c r="A251" s="8">
        <v>249</v>
      </c>
      <c r="B251" s="8">
        <v>5010</v>
      </c>
      <c r="C251" s="8" t="s">
        <v>412</v>
      </c>
      <c r="D251" s="8" t="s">
        <v>14</v>
      </c>
      <c r="E251" s="2" t="str">
        <f>"142.89"</f>
        <v>142.89</v>
      </c>
      <c r="F251" s="9" t="s">
        <v>9</v>
      </c>
      <c r="G251" s="9">
        <v>2017</v>
      </c>
      <c r="H251" s="10" t="str">
        <f>"75.67"</f>
        <v>75.67</v>
      </c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 t="str">
        <f>"102.89"</f>
        <v>102.89</v>
      </c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</row>
    <row r="252" spans="1:41">
      <c r="A252" s="8">
        <v>250</v>
      </c>
      <c r="B252" s="8">
        <v>5551</v>
      </c>
      <c r="C252" s="8" t="s">
        <v>413</v>
      </c>
      <c r="D252" s="8" t="s">
        <v>51</v>
      </c>
      <c r="E252" s="2" t="str">
        <f>"142.92"</f>
        <v>142.92</v>
      </c>
      <c r="F252" s="9"/>
      <c r="G252" s="9">
        <v>2017</v>
      </c>
      <c r="H252" s="10" t="str">
        <f>"140.19"</f>
        <v>140.19</v>
      </c>
      <c r="I252" s="10"/>
      <c r="J252" s="10"/>
      <c r="K252" s="10"/>
      <c r="L252" s="10"/>
      <c r="M252" s="10" t="str">
        <f>"184.53"</f>
        <v>184.53</v>
      </c>
      <c r="N252" s="10"/>
      <c r="O252" s="10" t="str">
        <f>"159.52"</f>
        <v>159.52</v>
      </c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 t="str">
        <f>"126.31"</f>
        <v>126.31</v>
      </c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</row>
    <row r="253" spans="1:41">
      <c r="A253" s="8">
        <v>251</v>
      </c>
      <c r="B253" s="8">
        <v>2573</v>
      </c>
      <c r="C253" s="8" t="s">
        <v>414</v>
      </c>
      <c r="D253" s="8" t="s">
        <v>15</v>
      </c>
      <c r="E253" s="2" t="str">
        <f>"143.11"</f>
        <v>143.11</v>
      </c>
      <c r="F253" s="9" t="s">
        <v>11</v>
      </c>
      <c r="G253" s="9">
        <v>2017</v>
      </c>
      <c r="H253" s="10" t="str">
        <f>"103.11"</f>
        <v>103.11</v>
      </c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</row>
    <row r="254" spans="1:41">
      <c r="A254" s="8">
        <v>252</v>
      </c>
      <c r="B254" s="8">
        <v>1817</v>
      </c>
      <c r="C254" s="8" t="s">
        <v>478</v>
      </c>
      <c r="D254" s="8" t="s">
        <v>14</v>
      </c>
      <c r="E254" s="2">
        <v>143.56</v>
      </c>
      <c r="F254" s="9" t="s">
        <v>1493</v>
      </c>
      <c r="G254" s="9">
        <v>2017</v>
      </c>
      <c r="H254" s="10" t="str">
        <f>"123.56"</f>
        <v>123.56</v>
      </c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</row>
    <row r="255" spans="1:41">
      <c r="A255" s="8">
        <v>253</v>
      </c>
      <c r="B255" s="8">
        <v>2179</v>
      </c>
      <c r="C255" s="8" t="s">
        <v>415</v>
      </c>
      <c r="D255" s="8" t="s">
        <v>67</v>
      </c>
      <c r="E255" s="2" t="str">
        <f>"143.61"</f>
        <v>143.61</v>
      </c>
      <c r="F255" s="9" t="s">
        <v>11</v>
      </c>
      <c r="G255" s="9">
        <v>2017</v>
      </c>
      <c r="H255" s="10" t="str">
        <f>"103.61"</f>
        <v>103.61</v>
      </c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</row>
    <row r="256" spans="1:41">
      <c r="A256" s="8">
        <v>254</v>
      </c>
      <c r="B256" s="8">
        <v>3126</v>
      </c>
      <c r="C256" s="8" t="s">
        <v>416</v>
      </c>
      <c r="D256" s="8" t="s">
        <v>51</v>
      </c>
      <c r="E256" s="2" t="str">
        <f>"143.87"</f>
        <v>143.87</v>
      </c>
      <c r="F256" s="9"/>
      <c r="G256" s="9">
        <v>2017</v>
      </c>
      <c r="H256" s="10" t="str">
        <f>"193.94"</f>
        <v>193.94</v>
      </c>
      <c r="I256" s="10"/>
      <c r="J256" s="10"/>
      <c r="K256" s="10"/>
      <c r="L256" s="10"/>
      <c r="M256" s="10" t="str">
        <f>"145.31"</f>
        <v>145.31</v>
      </c>
      <c r="N256" s="10"/>
      <c r="O256" s="10" t="str">
        <f>"167.94"</f>
        <v>167.94</v>
      </c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 t="str">
        <f>"142.42"</f>
        <v>142.42</v>
      </c>
      <c r="AA256" s="10"/>
      <c r="AB256" s="10"/>
      <c r="AC256" s="10" t="str">
        <f>"205.23"</f>
        <v>205.23</v>
      </c>
      <c r="AD256" s="10" t="str">
        <f>"204.45"</f>
        <v>204.45</v>
      </c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</row>
    <row r="257" spans="1:41">
      <c r="A257" s="8">
        <v>255</v>
      </c>
      <c r="B257" s="8">
        <v>11337</v>
      </c>
      <c r="C257" s="8" t="s">
        <v>417</v>
      </c>
      <c r="D257" s="8" t="s">
        <v>418</v>
      </c>
      <c r="E257" s="2" t="str">
        <f>"144.88"</f>
        <v>144.88</v>
      </c>
      <c r="F257" s="9" t="s">
        <v>9</v>
      </c>
      <c r="G257" s="9">
        <v>2017</v>
      </c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 t="str">
        <f>"104.88"</f>
        <v>104.88</v>
      </c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</row>
    <row r="258" spans="1:41">
      <c r="A258" s="8">
        <v>256</v>
      </c>
      <c r="B258" s="8">
        <v>10248</v>
      </c>
      <c r="C258" s="8" t="s">
        <v>419</v>
      </c>
      <c r="D258" s="8" t="s">
        <v>30</v>
      </c>
      <c r="E258" s="2" t="str">
        <f>"145.45"</f>
        <v>145.45</v>
      </c>
      <c r="F258" s="9"/>
      <c r="G258" s="9">
        <v>2017</v>
      </c>
      <c r="H258" s="10" t="str">
        <f>"158.32"</f>
        <v>158.32</v>
      </c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 t="str">
        <f>"158.68"</f>
        <v>158.68</v>
      </c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 t="str">
        <f>"132.21"</f>
        <v>132.21</v>
      </c>
      <c r="AH258" s="10"/>
      <c r="AI258" s="10"/>
      <c r="AJ258" s="10"/>
      <c r="AK258" s="10"/>
      <c r="AL258" s="10"/>
      <c r="AM258" s="10"/>
      <c r="AN258" s="10"/>
      <c r="AO258" s="10"/>
    </row>
    <row r="259" spans="1:41">
      <c r="A259" s="8">
        <v>257</v>
      </c>
      <c r="B259" s="8">
        <v>4429</v>
      </c>
      <c r="C259" s="8" t="s">
        <v>420</v>
      </c>
      <c r="D259" s="8" t="s">
        <v>37</v>
      </c>
      <c r="E259" s="2" t="str">
        <f>"145.54"</f>
        <v>145.54</v>
      </c>
      <c r="F259" s="9"/>
      <c r="G259" s="9">
        <v>2017</v>
      </c>
      <c r="H259" s="10" t="str">
        <f>"145.84"</f>
        <v>145.84</v>
      </c>
      <c r="I259" s="10"/>
      <c r="J259" s="10" t="str">
        <f>"160.92"</f>
        <v>160.92</v>
      </c>
      <c r="K259" s="10"/>
      <c r="L259" s="10" t="str">
        <f>"201.54"</f>
        <v>201.54</v>
      </c>
      <c r="M259" s="10"/>
      <c r="N259" s="10"/>
      <c r="O259" s="10"/>
      <c r="P259" s="10"/>
      <c r="Q259" s="10"/>
      <c r="R259" s="10"/>
      <c r="S259" s="10" t="str">
        <f>"159.10"</f>
        <v>159.10</v>
      </c>
      <c r="T259" s="10"/>
      <c r="U259" s="10"/>
      <c r="V259" s="10"/>
      <c r="W259" s="10"/>
      <c r="X259" s="10"/>
      <c r="Y259" s="10"/>
      <c r="Z259" s="10" t="str">
        <f>"143.04"</f>
        <v>143.04</v>
      </c>
      <c r="AA259" s="10"/>
      <c r="AB259" s="10"/>
      <c r="AC259" s="10" t="str">
        <f>"160.25"</f>
        <v>160.25</v>
      </c>
      <c r="AD259" s="10" t="str">
        <f>"180.87"</f>
        <v>180.87</v>
      </c>
      <c r="AE259" s="10"/>
      <c r="AF259" s="10"/>
      <c r="AG259" s="10"/>
      <c r="AH259" s="10"/>
      <c r="AI259" s="10" t="str">
        <f>"148.43"</f>
        <v>148.43</v>
      </c>
      <c r="AJ259" s="10" t="str">
        <f>"148.04"</f>
        <v>148.04</v>
      </c>
      <c r="AK259" s="10"/>
      <c r="AL259" s="10" t="str">
        <f>"190.45"</f>
        <v>190.45</v>
      </c>
      <c r="AM259" s="10"/>
      <c r="AN259" s="10"/>
      <c r="AO259" s="10"/>
    </row>
    <row r="260" spans="1:41">
      <c r="A260" s="8">
        <v>258</v>
      </c>
      <c r="B260" s="8">
        <v>10106</v>
      </c>
      <c r="C260" s="8" t="s">
        <v>421</v>
      </c>
      <c r="D260" s="8" t="s">
        <v>422</v>
      </c>
      <c r="E260" s="2" t="str">
        <f>"145.94"</f>
        <v>145.94</v>
      </c>
      <c r="F260" s="9"/>
      <c r="G260" s="9">
        <v>2017</v>
      </c>
      <c r="H260" s="10" t="str">
        <f>"177.99"</f>
        <v>177.99</v>
      </c>
      <c r="I260" s="10"/>
      <c r="J260" s="10"/>
      <c r="K260" s="10"/>
      <c r="L260" s="10"/>
      <c r="M260" s="10" t="str">
        <f>"140.76"</f>
        <v>140.76</v>
      </c>
      <c r="N260" s="10"/>
      <c r="O260" s="10" t="str">
        <f>"151.11"</f>
        <v>151.11</v>
      </c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</row>
    <row r="261" spans="1:41">
      <c r="A261" s="8">
        <v>259</v>
      </c>
      <c r="B261" s="8">
        <v>2243</v>
      </c>
      <c r="C261" s="8" t="s">
        <v>423</v>
      </c>
      <c r="D261" s="8" t="s">
        <v>10</v>
      </c>
      <c r="E261" s="2" t="str">
        <f>"146.11"</f>
        <v>146.11</v>
      </c>
      <c r="F261" s="9"/>
      <c r="G261" s="9">
        <v>2017</v>
      </c>
      <c r="H261" s="10" t="str">
        <f>"225.20"</f>
        <v>225.20</v>
      </c>
      <c r="I261" s="10"/>
      <c r="J261" s="10"/>
      <c r="K261" s="10"/>
      <c r="L261" s="10"/>
      <c r="M261" s="10"/>
      <c r="N261" s="10"/>
      <c r="O261" s="10"/>
      <c r="P261" s="10"/>
      <c r="Q261" s="10" t="str">
        <f>"181.64"</f>
        <v>181.64</v>
      </c>
      <c r="R261" s="10" t="str">
        <f>"202.24"</f>
        <v>202.24</v>
      </c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 t="str">
        <f>"152.03"</f>
        <v>152.03</v>
      </c>
      <c r="AF261" s="10" t="str">
        <f>"158.55"</f>
        <v>158.55</v>
      </c>
      <c r="AG261" s="10"/>
      <c r="AH261" s="10"/>
      <c r="AI261" s="10"/>
      <c r="AJ261" s="10"/>
      <c r="AK261" s="10"/>
      <c r="AL261" s="10"/>
      <c r="AM261" s="10"/>
      <c r="AN261" s="10"/>
      <c r="AO261" s="10" t="str">
        <f>"140.19"</f>
        <v>140.19</v>
      </c>
    </row>
    <row r="262" spans="1:41">
      <c r="A262" s="8">
        <v>260</v>
      </c>
      <c r="B262" s="8">
        <v>3139</v>
      </c>
      <c r="C262" s="8" t="s">
        <v>424</v>
      </c>
      <c r="D262" s="8" t="s">
        <v>93</v>
      </c>
      <c r="E262" s="2" t="str">
        <f>"146.17"</f>
        <v>146.17</v>
      </c>
      <c r="F262" s="9" t="s">
        <v>11</v>
      </c>
      <c r="G262" s="9">
        <v>2017</v>
      </c>
      <c r="H262" s="10" t="str">
        <f>"106.17"</f>
        <v>106.17</v>
      </c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</row>
    <row r="263" spans="1:41">
      <c r="A263" s="8">
        <v>261</v>
      </c>
      <c r="B263" s="8">
        <v>6859</v>
      </c>
      <c r="C263" s="8" t="s">
        <v>425</v>
      </c>
      <c r="D263" s="8" t="s">
        <v>426</v>
      </c>
      <c r="E263" s="2" t="str">
        <f>"146.40"</f>
        <v>146.40</v>
      </c>
      <c r="F263" s="9"/>
      <c r="G263" s="9">
        <v>2017</v>
      </c>
      <c r="H263" s="10" t="str">
        <f>"144.55"</f>
        <v>144.55</v>
      </c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 t="str">
        <f>"197.23"</f>
        <v>197.23</v>
      </c>
      <c r="T263" s="10"/>
      <c r="U263" s="10"/>
      <c r="V263" s="10"/>
      <c r="W263" s="10"/>
      <c r="X263" s="10"/>
      <c r="Y263" s="10"/>
      <c r="Z263" s="10"/>
      <c r="AA263" s="10"/>
      <c r="AB263" s="10"/>
      <c r="AC263" s="10" t="str">
        <f>"141.85"</f>
        <v>141.85</v>
      </c>
      <c r="AD263" s="10" t="str">
        <f>"177.60"</f>
        <v>177.60</v>
      </c>
      <c r="AE263" s="10"/>
      <c r="AF263" s="10"/>
      <c r="AG263" s="10"/>
      <c r="AH263" s="10" t="str">
        <f>"178.75"</f>
        <v>178.75</v>
      </c>
      <c r="AI263" s="10" t="str">
        <f>"150.94"</f>
        <v>150.94</v>
      </c>
      <c r="AJ263" s="10"/>
      <c r="AK263" s="10"/>
      <c r="AL263" s="10"/>
      <c r="AM263" s="10"/>
      <c r="AN263" s="10"/>
      <c r="AO263" s="10"/>
    </row>
    <row r="264" spans="1:41">
      <c r="A264" s="8">
        <v>262</v>
      </c>
      <c r="B264" s="8">
        <v>8682</v>
      </c>
      <c r="C264" s="8" t="s">
        <v>427</v>
      </c>
      <c r="D264" s="8" t="s">
        <v>428</v>
      </c>
      <c r="E264" s="2" t="str">
        <f>"146.76"</f>
        <v>146.76</v>
      </c>
      <c r="F264" s="9"/>
      <c r="G264" s="9">
        <v>2017</v>
      </c>
      <c r="H264" s="10" t="str">
        <f>"166.78"</f>
        <v>166.78</v>
      </c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 t="str">
        <f>"233.30"</f>
        <v>233.30</v>
      </c>
      <c r="AA264" s="10"/>
      <c r="AB264" s="10"/>
      <c r="AC264" s="10" t="str">
        <f>"225.22"</f>
        <v>225.22</v>
      </c>
      <c r="AD264" s="10" t="str">
        <f>"206.41"</f>
        <v>206.41</v>
      </c>
      <c r="AE264" s="10"/>
      <c r="AF264" s="10"/>
      <c r="AG264" s="10" t="str">
        <f>"143.83"</f>
        <v>143.83</v>
      </c>
      <c r="AH264" s="10" t="str">
        <f>"248.82"</f>
        <v>248.82</v>
      </c>
      <c r="AI264" s="10" t="str">
        <f>"155.81"</f>
        <v>155.81</v>
      </c>
      <c r="AJ264" s="10" t="str">
        <f>"149.68"</f>
        <v>149.68</v>
      </c>
      <c r="AK264" s="10"/>
      <c r="AL264" s="10" t="str">
        <f>"188.57"</f>
        <v>188.57</v>
      </c>
      <c r="AM264" s="10"/>
      <c r="AN264" s="10"/>
      <c r="AO264" s="10"/>
    </row>
    <row r="265" spans="1:41">
      <c r="A265" s="8">
        <v>263</v>
      </c>
      <c r="B265" s="8">
        <v>5388</v>
      </c>
      <c r="C265" s="8" t="s">
        <v>429</v>
      </c>
      <c r="D265" s="8" t="s">
        <v>430</v>
      </c>
      <c r="E265" s="2" t="str">
        <f>"146.83"</f>
        <v>146.83</v>
      </c>
      <c r="F265" s="9" t="s">
        <v>9</v>
      </c>
      <c r="G265" s="9">
        <v>2017</v>
      </c>
      <c r="H265" s="10" t="str">
        <f>"82.06"</f>
        <v>82.06</v>
      </c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 t="str">
        <f>"106.83"</f>
        <v>106.83</v>
      </c>
      <c r="AM265" s="10"/>
      <c r="AN265" s="10"/>
      <c r="AO265" s="10"/>
    </row>
    <row r="266" spans="1:41">
      <c r="A266" s="8">
        <v>264</v>
      </c>
      <c r="B266" s="8">
        <v>3368</v>
      </c>
      <c r="C266" s="8" t="s">
        <v>431</v>
      </c>
      <c r="D266" s="8" t="s">
        <v>63</v>
      </c>
      <c r="E266" s="2" t="str">
        <f>"147.04"</f>
        <v>147.04</v>
      </c>
      <c r="F266" s="9" t="s">
        <v>11</v>
      </c>
      <c r="G266" s="9">
        <v>2017</v>
      </c>
      <c r="H266" s="10" t="str">
        <f>"107.04"</f>
        <v>107.04</v>
      </c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</row>
    <row r="267" spans="1:41">
      <c r="A267" s="8">
        <v>265</v>
      </c>
      <c r="B267" s="8">
        <v>9547</v>
      </c>
      <c r="C267" s="8" t="s">
        <v>432</v>
      </c>
      <c r="D267" s="8" t="s">
        <v>53</v>
      </c>
      <c r="E267" s="2" t="str">
        <f>"147.23"</f>
        <v>147.23</v>
      </c>
      <c r="F267" s="9"/>
      <c r="G267" s="9">
        <v>2017</v>
      </c>
      <c r="H267" s="10" t="str">
        <f>"143.11"</f>
        <v>143.11</v>
      </c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 t="str">
        <f>"175.65"</f>
        <v>175.65</v>
      </c>
      <c r="T267" s="10"/>
      <c r="U267" s="10"/>
      <c r="V267" s="10"/>
      <c r="W267" s="10"/>
      <c r="X267" s="10"/>
      <c r="Y267" s="10"/>
      <c r="Z267" s="10" t="str">
        <f>"118.80"</f>
        <v>118.80</v>
      </c>
      <c r="AA267" s="10"/>
      <c r="AB267" s="10"/>
      <c r="AC267" s="10"/>
      <c r="AD267" s="10"/>
      <c r="AE267" s="10"/>
      <c r="AF267" s="10"/>
      <c r="AG267" s="10"/>
      <c r="AH267" s="10" t="str">
        <f>"177.87"</f>
        <v>177.87</v>
      </c>
      <c r="AI267" s="10"/>
      <c r="AJ267" s="10"/>
      <c r="AK267" s="10"/>
      <c r="AL267" s="10"/>
      <c r="AM267" s="10"/>
      <c r="AN267" s="10"/>
      <c r="AO267" s="10"/>
    </row>
    <row r="268" spans="1:41">
      <c r="A268" s="8">
        <v>266</v>
      </c>
      <c r="B268" s="8">
        <v>199</v>
      </c>
      <c r="C268" s="8" t="s">
        <v>433</v>
      </c>
      <c r="D268" s="8" t="s">
        <v>186</v>
      </c>
      <c r="E268" s="2" t="str">
        <f>"147.44"</f>
        <v>147.44</v>
      </c>
      <c r="F268" s="9"/>
      <c r="G268" s="9">
        <v>2017</v>
      </c>
      <c r="H268" s="10" t="str">
        <f>"122.04"</f>
        <v>122.04</v>
      </c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 t="str">
        <f>"191.63"</f>
        <v>191.63</v>
      </c>
      <c r="T268" s="10"/>
      <c r="U268" s="10"/>
      <c r="V268" s="10"/>
      <c r="W268" s="10"/>
      <c r="X268" s="10"/>
      <c r="Y268" s="10"/>
      <c r="Z268" s="10"/>
      <c r="AA268" s="10"/>
      <c r="AB268" s="10"/>
      <c r="AC268" s="10" t="str">
        <f>"143.05"</f>
        <v>143.05</v>
      </c>
      <c r="AD268" s="10" t="str">
        <f>"151.83"</f>
        <v>151.83</v>
      </c>
      <c r="AE268" s="10"/>
      <c r="AF268" s="10"/>
      <c r="AG268" s="10"/>
      <c r="AH268" s="10" t="str">
        <f>"178.20"</f>
        <v>178.20</v>
      </c>
      <c r="AI268" s="10" t="str">
        <f>"153.63"</f>
        <v>153.63</v>
      </c>
      <c r="AJ268" s="10"/>
      <c r="AK268" s="10"/>
      <c r="AL268" s="10"/>
      <c r="AM268" s="10"/>
      <c r="AN268" s="10"/>
      <c r="AO268" s="10"/>
    </row>
    <row r="269" spans="1:41">
      <c r="A269" s="8">
        <v>267</v>
      </c>
      <c r="B269" s="8">
        <v>3102</v>
      </c>
      <c r="C269" s="8" t="s">
        <v>434</v>
      </c>
      <c r="D269" s="8" t="s">
        <v>42</v>
      </c>
      <c r="E269" s="2" t="str">
        <f>"148.05"</f>
        <v>148.05</v>
      </c>
      <c r="F269" s="9"/>
      <c r="G269" s="9">
        <v>2017</v>
      </c>
      <c r="H269" s="10" t="str">
        <f>"190.48"</f>
        <v>190.48</v>
      </c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 t="str">
        <f>"194.57"</f>
        <v>194.57</v>
      </c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 t="str">
        <f>"119.81"</f>
        <v>119.81</v>
      </c>
      <c r="AH269" s="10" t="str">
        <f>"198.30"</f>
        <v>198.30</v>
      </c>
      <c r="AI269" s="10" t="str">
        <f>"176.29"</f>
        <v>176.29</v>
      </c>
      <c r="AJ269" s="10"/>
      <c r="AK269" s="10"/>
      <c r="AL269" s="10" t="str">
        <f>"176.57"</f>
        <v>176.57</v>
      </c>
      <c r="AM269" s="10"/>
      <c r="AN269" s="10"/>
      <c r="AO269" s="10"/>
    </row>
    <row r="270" spans="1:41">
      <c r="A270" s="8">
        <v>268</v>
      </c>
      <c r="B270" s="8">
        <v>1764</v>
      </c>
      <c r="C270" s="8" t="s">
        <v>435</v>
      </c>
      <c r="D270" s="8" t="s">
        <v>101</v>
      </c>
      <c r="E270" s="2" t="str">
        <f>"148.16"</f>
        <v>148.16</v>
      </c>
      <c r="F270" s="9" t="s">
        <v>11</v>
      </c>
      <c r="G270" s="9">
        <v>2017</v>
      </c>
      <c r="H270" s="10" t="str">
        <f>"108.16"</f>
        <v>108.16</v>
      </c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</row>
    <row r="271" spans="1:41">
      <c r="A271" s="8">
        <v>269</v>
      </c>
      <c r="B271" s="8">
        <v>2494</v>
      </c>
      <c r="C271" s="8" t="s">
        <v>436</v>
      </c>
      <c r="D271" s="8" t="s">
        <v>92</v>
      </c>
      <c r="E271" s="2" t="str">
        <f>"148.34"</f>
        <v>148.34</v>
      </c>
      <c r="F271" s="9"/>
      <c r="G271" s="9">
        <v>2017</v>
      </c>
      <c r="H271" s="10" t="str">
        <f>"177.07"</f>
        <v>177.07</v>
      </c>
      <c r="I271" s="10"/>
      <c r="J271" s="10"/>
      <c r="K271" s="10"/>
      <c r="L271" s="10"/>
      <c r="M271" s="10" t="str">
        <f>"137.31"</f>
        <v>137.31</v>
      </c>
      <c r="N271" s="10"/>
      <c r="O271" s="10" t="str">
        <f>"159.36"</f>
        <v>159.36</v>
      </c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</row>
    <row r="272" spans="1:41">
      <c r="A272" s="8">
        <v>270</v>
      </c>
      <c r="B272" s="8">
        <v>10127</v>
      </c>
      <c r="C272" s="8" t="s">
        <v>437</v>
      </c>
      <c r="D272" s="8" t="s">
        <v>10</v>
      </c>
      <c r="E272" s="2" t="str">
        <f>"148.63"</f>
        <v>148.63</v>
      </c>
      <c r="F272" s="9"/>
      <c r="G272" s="9">
        <v>2017</v>
      </c>
      <c r="H272" s="10" t="str">
        <f>"233.70"</f>
        <v>233.70</v>
      </c>
      <c r="I272" s="10"/>
      <c r="J272" s="10"/>
      <c r="K272" s="10"/>
      <c r="L272" s="10"/>
      <c r="M272" s="10"/>
      <c r="N272" s="10"/>
      <c r="O272" s="10"/>
      <c r="P272" s="10"/>
      <c r="Q272" s="10" t="str">
        <f>"232.63"</f>
        <v>232.63</v>
      </c>
      <c r="R272" s="10" t="str">
        <f>"258.82"</f>
        <v>258.82</v>
      </c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 t="str">
        <f>"191.08"</f>
        <v>191.08</v>
      </c>
      <c r="AF272" s="10" t="str">
        <f>"208.64"</f>
        <v>208.64</v>
      </c>
      <c r="AG272" s="10"/>
      <c r="AH272" s="10"/>
      <c r="AI272" s="10"/>
      <c r="AJ272" s="10"/>
      <c r="AK272" s="10"/>
      <c r="AL272" s="10"/>
      <c r="AM272" s="10"/>
      <c r="AN272" s="10" t="str">
        <f>"138.05"</f>
        <v>138.05</v>
      </c>
      <c r="AO272" s="10" t="str">
        <f>"159.20"</f>
        <v>159.20</v>
      </c>
    </row>
    <row r="273" spans="1:41">
      <c r="A273" s="8">
        <v>271</v>
      </c>
      <c r="B273" s="8">
        <v>10502</v>
      </c>
      <c r="C273" s="8" t="s">
        <v>438</v>
      </c>
      <c r="D273" s="8" t="s">
        <v>19</v>
      </c>
      <c r="E273" s="2" t="str">
        <f>"148.69"</f>
        <v>148.69</v>
      </c>
      <c r="F273" s="9"/>
      <c r="G273" s="9">
        <v>2017</v>
      </c>
      <c r="H273" s="10" t="str">
        <f>"355.22"</f>
        <v>355.22</v>
      </c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 t="str">
        <f>"257.39"</f>
        <v>257.39</v>
      </c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 t="str">
        <f>"139.64"</f>
        <v>139.64</v>
      </c>
      <c r="AO273" s="10" t="str">
        <f>"157.74"</f>
        <v>157.74</v>
      </c>
    </row>
    <row r="274" spans="1:41">
      <c r="A274" s="8">
        <v>272</v>
      </c>
      <c r="B274" s="8">
        <v>8336</v>
      </c>
      <c r="C274" s="8" t="s">
        <v>439</v>
      </c>
      <c r="D274" s="8" t="s">
        <v>19</v>
      </c>
      <c r="E274" s="2" t="str">
        <f>"149.68"</f>
        <v>149.68</v>
      </c>
      <c r="F274" s="9"/>
      <c r="G274" s="9">
        <v>2017</v>
      </c>
      <c r="H274" s="10" t="str">
        <f>"183.05"</f>
        <v>183.05</v>
      </c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 t="str">
        <f>"151.31"</f>
        <v>151.31</v>
      </c>
      <c r="Z274" s="10"/>
      <c r="AA274" s="10"/>
      <c r="AB274" s="10" t="str">
        <f>"148.04"</f>
        <v>148.04</v>
      </c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</row>
    <row r="275" spans="1:41">
      <c r="A275" s="8">
        <v>273</v>
      </c>
      <c r="B275" s="8">
        <v>10537</v>
      </c>
      <c r="C275" s="8" t="s">
        <v>440</v>
      </c>
      <c r="D275" s="8" t="s">
        <v>10</v>
      </c>
      <c r="E275" s="2" t="str">
        <f>"150.02"</f>
        <v>150.02</v>
      </c>
      <c r="F275" s="9"/>
      <c r="G275" s="9">
        <v>2017</v>
      </c>
      <c r="H275" s="10" t="str">
        <f>"144.51"</f>
        <v>144.51</v>
      </c>
      <c r="I275" s="10"/>
      <c r="J275" s="10"/>
      <c r="K275" s="10"/>
      <c r="L275" s="10"/>
      <c r="M275" s="10"/>
      <c r="N275" s="10"/>
      <c r="O275" s="10"/>
      <c r="P275" s="10"/>
      <c r="Q275" s="10"/>
      <c r="R275" s="10" t="str">
        <f>"158.56"</f>
        <v>158.56</v>
      </c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 t="str">
        <f>"141.47"</f>
        <v>141.47</v>
      </c>
      <c r="AG275" s="10"/>
      <c r="AH275" s="10"/>
      <c r="AI275" s="10"/>
      <c r="AJ275" s="10"/>
      <c r="AK275" s="10"/>
      <c r="AL275" s="10"/>
      <c r="AM275" s="10"/>
      <c r="AN275" s="10"/>
      <c r="AO275" s="10"/>
    </row>
    <row r="276" spans="1:41">
      <c r="A276" s="8">
        <v>274</v>
      </c>
      <c r="B276" s="8">
        <v>5722</v>
      </c>
      <c r="C276" s="8" t="s">
        <v>441</v>
      </c>
      <c r="D276" s="8" t="s">
        <v>19</v>
      </c>
      <c r="E276" s="2" t="str">
        <f>"150.02"</f>
        <v>150.02</v>
      </c>
      <c r="F276" s="9"/>
      <c r="G276" s="9">
        <v>2017</v>
      </c>
      <c r="H276" s="10" t="str">
        <f>"196.46"</f>
        <v>196.46</v>
      </c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 t="str">
        <f>"209.47"</f>
        <v>209.47</v>
      </c>
      <c r="Z276" s="10"/>
      <c r="AA276" s="10"/>
      <c r="AB276" s="10"/>
      <c r="AC276" s="10"/>
      <c r="AD276" s="10" t="str">
        <f>"167.55"</f>
        <v>167.55</v>
      </c>
      <c r="AE276" s="10"/>
      <c r="AF276" s="10"/>
      <c r="AG276" s="10"/>
      <c r="AH276" s="10"/>
      <c r="AI276" s="10" t="str">
        <f>"132.48"</f>
        <v>132.48</v>
      </c>
      <c r="AJ276" s="10"/>
      <c r="AK276" s="10"/>
      <c r="AL276" s="10"/>
      <c r="AM276" s="10" t="str">
        <f>"205.15"</f>
        <v>205.15</v>
      </c>
      <c r="AN276" s="10"/>
      <c r="AO276" s="10"/>
    </row>
    <row r="277" spans="1:41">
      <c r="A277" s="8">
        <v>275</v>
      </c>
      <c r="B277" s="8">
        <v>7550</v>
      </c>
      <c r="C277" s="8" t="s">
        <v>442</v>
      </c>
      <c r="D277" s="8" t="s">
        <v>102</v>
      </c>
      <c r="E277" s="2" t="str">
        <f>"150.09"</f>
        <v>150.09</v>
      </c>
      <c r="F277" s="9" t="s">
        <v>11</v>
      </c>
      <c r="G277" s="9">
        <v>2017</v>
      </c>
      <c r="H277" s="10" t="str">
        <f>"110.09"</f>
        <v>110.09</v>
      </c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</row>
    <row r="278" spans="1:41">
      <c r="A278" s="8">
        <v>276</v>
      </c>
      <c r="B278" s="8">
        <v>1079</v>
      </c>
      <c r="C278" s="8" t="s">
        <v>443</v>
      </c>
      <c r="D278" s="8" t="s">
        <v>33</v>
      </c>
      <c r="E278" s="2" t="str">
        <f>"150.12"</f>
        <v>150.12</v>
      </c>
      <c r="F278" s="9"/>
      <c r="G278" s="9">
        <v>2017</v>
      </c>
      <c r="H278" s="10" t="str">
        <f>"159.11"</f>
        <v>159.11</v>
      </c>
      <c r="I278" s="10"/>
      <c r="J278" s="10"/>
      <c r="K278" s="10"/>
      <c r="L278" s="10"/>
      <c r="M278" s="10"/>
      <c r="N278" s="10" t="str">
        <f>"177.66"</f>
        <v>177.66</v>
      </c>
      <c r="O278" s="10"/>
      <c r="P278" s="10" t="str">
        <f>"146.04"</f>
        <v>146.04</v>
      </c>
      <c r="Q278" s="10"/>
      <c r="R278" s="10"/>
      <c r="S278" s="10"/>
      <c r="T278" s="10" t="str">
        <f>"154.19"</f>
        <v>154.19</v>
      </c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</row>
    <row r="279" spans="1:41">
      <c r="A279" s="8">
        <v>277</v>
      </c>
      <c r="B279" s="8">
        <v>8378</v>
      </c>
      <c r="C279" s="8" t="s">
        <v>444</v>
      </c>
      <c r="D279" s="8" t="s">
        <v>61</v>
      </c>
      <c r="E279" s="2" t="str">
        <f>"150.41"</f>
        <v>150.41</v>
      </c>
      <c r="F279" s="9"/>
      <c r="G279" s="9">
        <v>2017</v>
      </c>
      <c r="H279" s="10" t="str">
        <f>"135.19"</f>
        <v>135.19</v>
      </c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 t="str">
        <f>"247.70"</f>
        <v>247.70</v>
      </c>
      <c r="T279" s="10"/>
      <c r="U279" s="10"/>
      <c r="V279" s="10"/>
      <c r="W279" s="10"/>
      <c r="X279" s="10"/>
      <c r="Y279" s="10"/>
      <c r="Z279" s="10"/>
      <c r="AA279" s="10"/>
      <c r="AB279" s="10"/>
      <c r="AC279" s="10" t="str">
        <f>"158.45"</f>
        <v>158.45</v>
      </c>
      <c r="AD279" s="10" t="str">
        <f>"164.28"</f>
        <v>164.28</v>
      </c>
      <c r="AE279" s="10"/>
      <c r="AF279" s="10"/>
      <c r="AG279" s="10"/>
      <c r="AH279" s="10"/>
      <c r="AI279" s="10"/>
      <c r="AJ279" s="10" t="str">
        <f>"142.37"</f>
        <v>142.37</v>
      </c>
      <c r="AK279" s="10"/>
      <c r="AL279" s="10"/>
      <c r="AM279" s="10"/>
      <c r="AN279" s="10"/>
      <c r="AO279" s="10"/>
    </row>
    <row r="280" spans="1:41">
      <c r="A280" s="8">
        <v>278</v>
      </c>
      <c r="B280" s="8">
        <v>8215</v>
      </c>
      <c r="C280" s="8" t="s">
        <v>445</v>
      </c>
      <c r="D280" s="8" t="s">
        <v>64</v>
      </c>
      <c r="E280" s="2" t="str">
        <f>"150.51"</f>
        <v>150.51</v>
      </c>
      <c r="F280" s="9"/>
      <c r="G280" s="9">
        <v>2017</v>
      </c>
      <c r="H280" s="10" t="str">
        <f>"244.69"</f>
        <v>244.69</v>
      </c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 t="str">
        <f>"137.65"</f>
        <v>137.65</v>
      </c>
      <c r="AD280" s="10" t="str">
        <f>"179.12"</f>
        <v>179.12</v>
      </c>
      <c r="AE280" s="10"/>
      <c r="AF280" s="10"/>
      <c r="AG280" s="10"/>
      <c r="AH280" s="10"/>
      <c r="AI280" s="10" t="str">
        <f>"163.36"</f>
        <v>163.36</v>
      </c>
      <c r="AJ280" s="10"/>
      <c r="AK280" s="10"/>
      <c r="AL280" s="10"/>
      <c r="AM280" s="10"/>
      <c r="AN280" s="10"/>
      <c r="AO280" s="10"/>
    </row>
    <row r="281" spans="1:41">
      <c r="A281" s="8">
        <v>279</v>
      </c>
      <c r="B281" s="8">
        <v>9224</v>
      </c>
      <c r="C281" s="8" t="s">
        <v>446</v>
      </c>
      <c r="D281" s="8" t="s">
        <v>44</v>
      </c>
      <c r="E281" s="2" t="str">
        <f>"150.88"</f>
        <v>150.88</v>
      </c>
      <c r="F281" s="9" t="s">
        <v>9</v>
      </c>
      <c r="G281" s="9">
        <v>2017</v>
      </c>
      <c r="H281" s="10" t="str">
        <f>"114.21"</f>
        <v>114.21</v>
      </c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 t="str">
        <f>"110.88"</f>
        <v>110.88</v>
      </c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</row>
    <row r="282" spans="1:41">
      <c r="A282" s="8">
        <v>280</v>
      </c>
      <c r="B282" s="8">
        <v>5493</v>
      </c>
      <c r="C282" s="8" t="s">
        <v>447</v>
      </c>
      <c r="D282" s="8" t="s">
        <v>430</v>
      </c>
      <c r="E282" s="2" t="str">
        <f>"151.40"</f>
        <v>151.40</v>
      </c>
      <c r="F282" s="9"/>
      <c r="G282" s="9">
        <v>2017</v>
      </c>
      <c r="H282" s="10" t="str">
        <f>"127.65"</f>
        <v>127.65</v>
      </c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 t="str">
        <f>"145.65"</f>
        <v>145.65</v>
      </c>
      <c r="T282" s="10"/>
      <c r="U282" s="10"/>
      <c r="V282" s="10"/>
      <c r="W282" s="10"/>
      <c r="X282" s="10"/>
      <c r="Y282" s="10"/>
      <c r="Z282" s="10" t="str">
        <f>"170.73"</f>
        <v>170.73</v>
      </c>
      <c r="AA282" s="10"/>
      <c r="AB282" s="10"/>
      <c r="AC282" s="10"/>
      <c r="AD282" s="10"/>
      <c r="AE282" s="10"/>
      <c r="AF282" s="10"/>
      <c r="AG282" s="10"/>
      <c r="AH282" s="10"/>
      <c r="AI282" s="10" t="str">
        <f>"157.15"</f>
        <v>157.15</v>
      </c>
      <c r="AJ282" s="10"/>
      <c r="AK282" s="10"/>
      <c r="AL282" s="10" t="str">
        <f>"163.26"</f>
        <v>163.26</v>
      </c>
      <c r="AM282" s="10"/>
      <c r="AN282" s="10"/>
      <c r="AO282" s="10"/>
    </row>
    <row r="283" spans="1:41">
      <c r="A283" s="8">
        <v>281</v>
      </c>
      <c r="B283" s="8">
        <v>2408</v>
      </c>
      <c r="C283" s="8" t="s">
        <v>448</v>
      </c>
      <c r="D283" s="8" t="s">
        <v>10</v>
      </c>
      <c r="E283" s="2" t="str">
        <f>"151.49"</f>
        <v>151.49</v>
      </c>
      <c r="F283" s="9" t="s">
        <v>9</v>
      </c>
      <c r="G283" s="9">
        <v>2017</v>
      </c>
      <c r="H283" s="10" t="str">
        <f>"115.16"</f>
        <v>115.16</v>
      </c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 t="str">
        <f>"111.49"</f>
        <v>111.49</v>
      </c>
      <c r="AG283" s="10"/>
      <c r="AH283" s="10"/>
      <c r="AI283" s="10"/>
      <c r="AJ283" s="10"/>
      <c r="AK283" s="10"/>
      <c r="AL283" s="10"/>
      <c r="AM283" s="10"/>
      <c r="AN283" s="10"/>
      <c r="AO283" s="10"/>
    </row>
    <row r="284" spans="1:41">
      <c r="A284" s="8">
        <v>282</v>
      </c>
      <c r="B284" s="8">
        <v>805</v>
      </c>
      <c r="C284" s="8" t="s">
        <v>449</v>
      </c>
      <c r="D284" s="8" t="s">
        <v>46</v>
      </c>
      <c r="E284" s="2" t="str">
        <f>"151.67"</f>
        <v>151.67</v>
      </c>
      <c r="F284" s="9"/>
      <c r="G284" s="9">
        <v>2017</v>
      </c>
      <c r="H284" s="10" t="str">
        <f>"304.75"</f>
        <v>304.75</v>
      </c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 t="str">
        <f>"174.84"</f>
        <v>174.84</v>
      </c>
      <c r="AD284" s="10" t="str">
        <f>"176.29"</f>
        <v>176.29</v>
      </c>
      <c r="AE284" s="10"/>
      <c r="AF284" s="10"/>
      <c r="AG284" s="10"/>
      <c r="AH284" s="10"/>
      <c r="AI284" s="10"/>
      <c r="AJ284" s="10" t="str">
        <f>"128.50"</f>
        <v>128.50</v>
      </c>
      <c r="AK284" s="10"/>
      <c r="AL284" s="10"/>
      <c r="AM284" s="10"/>
      <c r="AN284" s="10"/>
      <c r="AO284" s="10"/>
    </row>
    <row r="285" spans="1:41">
      <c r="A285" s="8">
        <v>283</v>
      </c>
      <c r="B285" s="8">
        <v>6384</v>
      </c>
      <c r="C285" s="8" t="s">
        <v>450</v>
      </c>
      <c r="D285" s="8" t="s">
        <v>54</v>
      </c>
      <c r="E285" s="2" t="str">
        <f>"151.68"</f>
        <v>151.68</v>
      </c>
      <c r="F285" s="9"/>
      <c r="G285" s="9">
        <v>2017</v>
      </c>
      <c r="H285" s="10" t="str">
        <f>"211.81"</f>
        <v>211.81</v>
      </c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 t="str">
        <f>"186.16"</f>
        <v>186.16</v>
      </c>
      <c r="T285" s="10"/>
      <c r="U285" s="10"/>
      <c r="V285" s="10"/>
      <c r="W285" s="10"/>
      <c r="X285" s="10"/>
      <c r="Y285" s="10"/>
      <c r="Z285" s="10"/>
      <c r="AA285" s="10"/>
      <c r="AB285" s="10"/>
      <c r="AC285" s="10" t="str">
        <f>"144.85"</f>
        <v>144.85</v>
      </c>
      <c r="AD285" s="10"/>
      <c r="AE285" s="10"/>
      <c r="AF285" s="10"/>
      <c r="AG285" s="10"/>
      <c r="AH285" s="10"/>
      <c r="AI285" s="10" t="str">
        <f>"158.50"</f>
        <v>158.50</v>
      </c>
      <c r="AJ285" s="10"/>
      <c r="AK285" s="10"/>
      <c r="AL285" s="10"/>
      <c r="AM285" s="10"/>
      <c r="AN285" s="10"/>
      <c r="AO285" s="10"/>
    </row>
    <row r="286" spans="1:41">
      <c r="A286" s="8">
        <v>284</v>
      </c>
      <c r="B286" s="8">
        <v>10205</v>
      </c>
      <c r="C286" s="8" t="s">
        <v>451</v>
      </c>
      <c r="D286" s="8" t="s">
        <v>10</v>
      </c>
      <c r="E286" s="2" t="str">
        <f>"151.95"</f>
        <v>151.95</v>
      </c>
      <c r="F286" s="9"/>
      <c r="G286" s="9">
        <v>2017</v>
      </c>
      <c r="H286" s="10" t="str">
        <f>"241.47"</f>
        <v>241.47</v>
      </c>
      <c r="I286" s="10"/>
      <c r="J286" s="10"/>
      <c r="K286" s="10"/>
      <c r="L286" s="10"/>
      <c r="M286" s="10"/>
      <c r="N286" s="10"/>
      <c r="O286" s="10"/>
      <c r="P286" s="10"/>
      <c r="Q286" s="10" t="str">
        <f>"184.36"</f>
        <v>184.36</v>
      </c>
      <c r="R286" s="10" t="str">
        <f>"228.41"</f>
        <v>228.41</v>
      </c>
      <c r="S286" s="10" t="str">
        <f>"244.47"</f>
        <v>244.47</v>
      </c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 t="str">
        <f>"164.10"</f>
        <v>164.10</v>
      </c>
      <c r="AF286" s="10" t="str">
        <f>"185.49"</f>
        <v>185.49</v>
      </c>
      <c r="AG286" s="10"/>
      <c r="AH286" s="10"/>
      <c r="AI286" s="10"/>
      <c r="AJ286" s="10"/>
      <c r="AK286" s="10"/>
      <c r="AL286" s="10"/>
      <c r="AM286" s="10"/>
      <c r="AN286" s="10"/>
      <c r="AO286" s="10" t="str">
        <f>"139.80"</f>
        <v>139.80</v>
      </c>
    </row>
    <row r="287" spans="1:41">
      <c r="A287" s="8">
        <v>285</v>
      </c>
      <c r="B287" s="8">
        <v>7104</v>
      </c>
      <c r="C287" s="8" t="s">
        <v>452</v>
      </c>
      <c r="D287" s="8" t="s">
        <v>58</v>
      </c>
      <c r="E287" s="2" t="str">
        <f>"152.61"</f>
        <v>152.61</v>
      </c>
      <c r="F287" s="9"/>
      <c r="G287" s="9">
        <v>2017</v>
      </c>
      <c r="H287" s="10" t="str">
        <f>"207.63"</f>
        <v>207.63</v>
      </c>
      <c r="I287" s="10"/>
      <c r="J287" s="10"/>
      <c r="K287" s="10"/>
      <c r="L287" s="10"/>
      <c r="M287" s="10" t="str">
        <f>"150.65"</f>
        <v>150.65</v>
      </c>
      <c r="N287" s="10"/>
      <c r="O287" s="10" t="str">
        <f>"154.57"</f>
        <v>154.57</v>
      </c>
      <c r="P287" s="10"/>
      <c r="Q287" s="10"/>
      <c r="R287" s="10"/>
      <c r="S287" s="10"/>
      <c r="T287" s="10" t="str">
        <f>"161.61"</f>
        <v>161.61</v>
      </c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</row>
    <row r="288" spans="1:41">
      <c r="A288" s="8">
        <v>286</v>
      </c>
      <c r="B288" s="8">
        <v>10691</v>
      </c>
      <c r="C288" s="8" t="s">
        <v>453</v>
      </c>
      <c r="D288" s="8" t="s">
        <v>19</v>
      </c>
      <c r="E288" s="2" t="str">
        <f>"152.87"</f>
        <v>152.87</v>
      </c>
      <c r="F288" s="9"/>
      <c r="G288" s="9">
        <v>2017</v>
      </c>
      <c r="H288" s="10" t="str">
        <f>"325.43"</f>
        <v>325.43</v>
      </c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 t="str">
        <f>"195.83"</f>
        <v>195.83</v>
      </c>
      <c r="T288" s="10"/>
      <c r="U288" s="10"/>
      <c r="V288" s="10" t="str">
        <f>"176.32"</f>
        <v>176.32</v>
      </c>
      <c r="W288" s="10"/>
      <c r="X288" s="10"/>
      <c r="Y288" s="10" t="str">
        <f>"212.84"</f>
        <v>212.84</v>
      </c>
      <c r="Z288" s="10"/>
      <c r="AA288" s="10"/>
      <c r="AB288" s="10" t="str">
        <f>"173.85"</f>
        <v>173.85</v>
      </c>
      <c r="AC288" s="10" t="str">
        <f>"150.85"</f>
        <v>150.85</v>
      </c>
      <c r="AD288" s="10" t="str">
        <f>"154.89"</f>
        <v>154.89</v>
      </c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</row>
    <row r="289" spans="1:41">
      <c r="A289" s="8">
        <v>287</v>
      </c>
      <c r="B289" s="8">
        <v>6853</v>
      </c>
      <c r="C289" s="8" t="s">
        <v>454</v>
      </c>
      <c r="D289" s="8" t="s">
        <v>99</v>
      </c>
      <c r="E289" s="2" t="str">
        <f>"153.34"</f>
        <v>153.34</v>
      </c>
      <c r="F289" s="9"/>
      <c r="G289" s="9">
        <v>2017</v>
      </c>
      <c r="H289" s="10" t="str">
        <f>"182.66"</f>
        <v>182.66</v>
      </c>
      <c r="I289" s="10"/>
      <c r="J289" s="10"/>
      <c r="K289" s="10"/>
      <c r="L289" s="10"/>
      <c r="M289" s="10" t="str">
        <f>"154.41"</f>
        <v>154.41</v>
      </c>
      <c r="N289" s="10"/>
      <c r="O289" s="10" t="str">
        <f>"152.26"</f>
        <v>152.26</v>
      </c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 t="str">
        <f>"183.71"</f>
        <v>183.71</v>
      </c>
      <c r="AA289" s="10"/>
      <c r="AB289" s="10"/>
      <c r="AC289" s="10" t="str">
        <f>"171.44"</f>
        <v>171.44</v>
      </c>
      <c r="AD289" s="10" t="str">
        <f>"162.10"</f>
        <v>162.10</v>
      </c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</row>
    <row r="290" spans="1:41">
      <c r="A290" s="8">
        <v>288</v>
      </c>
      <c r="B290" s="8">
        <v>3526</v>
      </c>
      <c r="C290" s="8" t="s">
        <v>455</v>
      </c>
      <c r="D290" s="8" t="s">
        <v>42</v>
      </c>
      <c r="E290" s="2" t="str">
        <f>"153.87"</f>
        <v>153.87</v>
      </c>
      <c r="F290" s="9" t="s">
        <v>9</v>
      </c>
      <c r="G290" s="9">
        <v>2017</v>
      </c>
      <c r="H290" s="10" t="str">
        <f>"131.60"</f>
        <v>131.60</v>
      </c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 t="str">
        <f>"113.87"</f>
        <v>113.87</v>
      </c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</row>
    <row r="291" spans="1:41">
      <c r="A291" s="8">
        <v>289</v>
      </c>
      <c r="B291" s="8">
        <v>6862</v>
      </c>
      <c r="C291" s="8" t="s">
        <v>456</v>
      </c>
      <c r="D291" s="8" t="s">
        <v>19</v>
      </c>
      <c r="E291" s="2" t="str">
        <f>"154.07"</f>
        <v>154.07</v>
      </c>
      <c r="F291" s="9"/>
      <c r="G291" s="9">
        <v>2017</v>
      </c>
      <c r="H291" s="10" t="str">
        <f>"287.44"</f>
        <v>287.44</v>
      </c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 t="str">
        <f>"242.16"</f>
        <v>242.16</v>
      </c>
      <c r="W291" s="10"/>
      <c r="X291" s="10"/>
      <c r="Y291" s="10"/>
      <c r="Z291" s="10"/>
      <c r="AA291" s="10"/>
      <c r="AB291" s="10" t="str">
        <f>"221.93"</f>
        <v>221.93</v>
      </c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 t="str">
        <f>"140.43"</f>
        <v>140.43</v>
      </c>
      <c r="AO291" s="10" t="str">
        <f>"167.71"</f>
        <v>167.71</v>
      </c>
    </row>
    <row r="292" spans="1:41">
      <c r="A292" s="8">
        <v>290</v>
      </c>
      <c r="B292" s="8">
        <v>3261</v>
      </c>
      <c r="C292" s="8" t="s">
        <v>457</v>
      </c>
      <c r="D292" s="8" t="s">
        <v>147</v>
      </c>
      <c r="E292" s="2" t="str">
        <f>"155.05"</f>
        <v>155.05</v>
      </c>
      <c r="F292" s="9"/>
      <c r="G292" s="9">
        <v>2017</v>
      </c>
      <c r="H292" s="10" t="str">
        <f>"166.43"</f>
        <v>166.43</v>
      </c>
      <c r="I292" s="10"/>
      <c r="J292" s="10"/>
      <c r="K292" s="10"/>
      <c r="L292" s="10"/>
      <c r="M292" s="10"/>
      <c r="N292" s="10" t="str">
        <f>"158.73"</f>
        <v>158.73</v>
      </c>
      <c r="O292" s="10"/>
      <c r="P292" s="10" t="str">
        <f>"161.07"</f>
        <v>161.07</v>
      </c>
      <c r="Q292" s="10"/>
      <c r="R292" s="10"/>
      <c r="S292" s="10"/>
      <c r="T292" s="10" t="str">
        <f>"151.37"</f>
        <v>151.37</v>
      </c>
      <c r="U292" s="10"/>
      <c r="V292" s="10"/>
      <c r="W292" s="10"/>
      <c r="X292" s="10"/>
      <c r="Y292" s="10"/>
      <c r="Z292" s="10"/>
      <c r="AA292" s="10" t="str">
        <f>"191.81"</f>
        <v>191.81</v>
      </c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</row>
    <row r="293" spans="1:41">
      <c r="A293" s="8">
        <v>291</v>
      </c>
      <c r="B293" s="8">
        <v>8090</v>
      </c>
      <c r="C293" s="8" t="s">
        <v>458</v>
      </c>
      <c r="D293" s="8" t="s">
        <v>65</v>
      </c>
      <c r="E293" s="2" t="str">
        <f>"156.02"</f>
        <v>156.02</v>
      </c>
      <c r="F293" s="9"/>
      <c r="G293" s="9">
        <v>2017</v>
      </c>
      <c r="H293" s="10" t="str">
        <f>"172.63"</f>
        <v>172.63</v>
      </c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 t="str">
        <f>"179.04"</f>
        <v>179.04</v>
      </c>
      <c r="AD293" s="10" t="str">
        <f>"191.35"</f>
        <v>191.35</v>
      </c>
      <c r="AE293" s="10"/>
      <c r="AF293" s="10"/>
      <c r="AG293" s="10" t="str">
        <f>"132.99"</f>
        <v>132.99</v>
      </c>
      <c r="AH293" s="10" t="str">
        <f>"189.84"</f>
        <v>189.84</v>
      </c>
      <c r="AI293" s="10" t="str">
        <f>"183.34"</f>
        <v>183.34</v>
      </c>
      <c r="AJ293" s="10"/>
      <c r="AK293" s="10"/>
      <c r="AL293" s="10"/>
      <c r="AM293" s="10"/>
      <c r="AN293" s="10"/>
      <c r="AO293" s="10"/>
    </row>
    <row r="294" spans="1:41">
      <c r="A294" s="8">
        <v>292</v>
      </c>
      <c r="B294" s="8">
        <v>10424</v>
      </c>
      <c r="C294" s="8" t="s">
        <v>459</v>
      </c>
      <c r="D294" s="8" t="s">
        <v>19</v>
      </c>
      <c r="E294" s="2" t="str">
        <f>"156.08"</f>
        <v>156.08</v>
      </c>
      <c r="F294" s="9"/>
      <c r="G294" s="9">
        <v>2017</v>
      </c>
      <c r="H294" s="10" t="str">
        <f>"324.67"</f>
        <v>324.67</v>
      </c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 t="str">
        <f>"185.73"</f>
        <v>185.73</v>
      </c>
      <c r="AC294" s="10"/>
      <c r="AD294" s="10"/>
      <c r="AE294" s="10"/>
      <c r="AF294" s="10"/>
      <c r="AG294" s="10"/>
      <c r="AH294" s="10"/>
      <c r="AI294" s="10"/>
      <c r="AJ294" s="10" t="str">
        <f>"126.42"</f>
        <v>126.42</v>
      </c>
      <c r="AK294" s="10"/>
      <c r="AL294" s="10"/>
      <c r="AM294" s="10"/>
      <c r="AN294" s="10"/>
      <c r="AO294" s="10"/>
    </row>
    <row r="295" spans="1:41">
      <c r="A295" s="8">
        <v>293</v>
      </c>
      <c r="B295" s="8">
        <v>11398</v>
      </c>
      <c r="C295" s="8" t="s">
        <v>460</v>
      </c>
      <c r="D295" s="8" t="s">
        <v>14</v>
      </c>
      <c r="E295" s="2" t="str">
        <f>"156.23"</f>
        <v>156.23</v>
      </c>
      <c r="F295" s="9"/>
      <c r="G295" s="9">
        <v>2017</v>
      </c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 t="str">
        <f>"116.10"</f>
        <v>116.10</v>
      </c>
      <c r="AH295" s="10" t="str">
        <f>"236.08"</f>
        <v>236.08</v>
      </c>
      <c r="AI295" s="10"/>
      <c r="AJ295" s="10" t="str">
        <f>"196.35"</f>
        <v>196.35</v>
      </c>
      <c r="AK295" s="10"/>
      <c r="AL295" s="10"/>
      <c r="AM295" s="10"/>
      <c r="AN295" s="10"/>
      <c r="AO295" s="10"/>
    </row>
    <row r="296" spans="1:41">
      <c r="A296" s="8">
        <v>294</v>
      </c>
      <c r="B296" s="8">
        <v>2706</v>
      </c>
      <c r="C296" s="8" t="s">
        <v>461</v>
      </c>
      <c r="D296" s="8" t="s">
        <v>147</v>
      </c>
      <c r="E296" s="2" t="str">
        <f>"157.03"</f>
        <v>157.03</v>
      </c>
      <c r="F296" s="9"/>
      <c r="G296" s="9">
        <v>2017</v>
      </c>
      <c r="H296" s="10" t="str">
        <f>"317.67"</f>
        <v>317.67</v>
      </c>
      <c r="I296" s="10"/>
      <c r="J296" s="10"/>
      <c r="K296" s="10"/>
      <c r="L296" s="10"/>
      <c r="M296" s="10" t="str">
        <f>"161.79"</f>
        <v>161.79</v>
      </c>
      <c r="N296" s="10"/>
      <c r="O296" s="10" t="str">
        <f>"152.26"</f>
        <v>152.26</v>
      </c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</row>
    <row r="297" spans="1:41">
      <c r="A297" s="8">
        <v>295</v>
      </c>
      <c r="B297" s="8">
        <v>10998</v>
      </c>
      <c r="C297" s="8" t="s">
        <v>462</v>
      </c>
      <c r="D297" s="8" t="s">
        <v>14</v>
      </c>
      <c r="E297" s="2" t="str">
        <f>"157.06"</f>
        <v>157.06</v>
      </c>
      <c r="F297" s="9"/>
      <c r="G297" s="9">
        <v>2017</v>
      </c>
      <c r="H297" s="10" t="str">
        <f>"396.98"</f>
        <v>396.98</v>
      </c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 t="str">
        <f>"196.39"</f>
        <v>196.39</v>
      </c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 t="str">
        <f>"121.86"</f>
        <v>121.86</v>
      </c>
      <c r="AH297" s="10" t="str">
        <f>"192.26"</f>
        <v>192.26</v>
      </c>
      <c r="AI297" s="10"/>
      <c r="AJ297" s="10"/>
      <c r="AK297" s="10"/>
      <c r="AL297" s="10"/>
      <c r="AM297" s="10"/>
      <c r="AN297" s="10"/>
      <c r="AO297" s="10"/>
    </row>
    <row r="298" spans="1:41">
      <c r="A298" s="8">
        <v>296</v>
      </c>
      <c r="B298" s="8">
        <v>10342</v>
      </c>
      <c r="C298" s="8" t="s">
        <v>463</v>
      </c>
      <c r="D298" s="8" t="s">
        <v>10</v>
      </c>
      <c r="E298" s="2" t="str">
        <f>"157.59"</f>
        <v>157.59</v>
      </c>
      <c r="F298" s="9"/>
      <c r="G298" s="9">
        <v>2017</v>
      </c>
      <c r="H298" s="10" t="str">
        <f>"241.61"</f>
        <v>241.61</v>
      </c>
      <c r="I298" s="10"/>
      <c r="J298" s="10"/>
      <c r="K298" s="10" t="str">
        <f>"173.44"</f>
        <v>173.44</v>
      </c>
      <c r="L298" s="10"/>
      <c r="M298" s="10"/>
      <c r="N298" s="10"/>
      <c r="O298" s="10"/>
      <c r="P298" s="10"/>
      <c r="Q298" s="10" t="str">
        <f>"187.91"</f>
        <v>187.91</v>
      </c>
      <c r="R298" s="10" t="str">
        <f>"279.09"</f>
        <v>279.09</v>
      </c>
      <c r="S298" s="10" t="str">
        <f>"188.26"</f>
        <v>188.26</v>
      </c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 t="str">
        <f>"152.23"</f>
        <v>152.23</v>
      </c>
      <c r="AF298" s="10" t="str">
        <f>"168.79"</f>
        <v>168.79</v>
      </c>
      <c r="AG298" s="10"/>
      <c r="AH298" s="10"/>
      <c r="AI298" s="10" t="str">
        <f>"219.09"</f>
        <v>219.09</v>
      </c>
      <c r="AJ298" s="10" t="str">
        <f>"162.95"</f>
        <v>162.95</v>
      </c>
      <c r="AK298" s="10"/>
      <c r="AL298" s="10" t="str">
        <f>"207.51"</f>
        <v>207.51</v>
      </c>
      <c r="AM298" s="10"/>
      <c r="AN298" s="10"/>
      <c r="AO298" s="10"/>
    </row>
    <row r="299" spans="1:41">
      <c r="A299" s="8">
        <v>297</v>
      </c>
      <c r="B299" s="8">
        <v>10982</v>
      </c>
      <c r="C299" s="8" t="s">
        <v>464</v>
      </c>
      <c r="D299" s="8" t="s">
        <v>36</v>
      </c>
      <c r="E299" s="2" t="str">
        <f>"158.16"</f>
        <v>158.16</v>
      </c>
      <c r="F299" s="9"/>
      <c r="G299" s="9">
        <v>2017</v>
      </c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 t="str">
        <f>"212.36"</f>
        <v>212.36</v>
      </c>
      <c r="W299" s="10"/>
      <c r="X299" s="10"/>
      <c r="Y299" s="10" t="str">
        <f>"280.61"</f>
        <v>280.61</v>
      </c>
      <c r="Z299" s="10"/>
      <c r="AA299" s="10"/>
      <c r="AB299" s="10"/>
      <c r="AC299" s="10"/>
      <c r="AD299" s="10"/>
      <c r="AE299" s="10"/>
      <c r="AF299" s="10"/>
      <c r="AG299" s="10"/>
      <c r="AH299" s="10"/>
      <c r="AI299" s="10" t="str">
        <f>"103.95"</f>
        <v>103.95</v>
      </c>
      <c r="AJ299" s="10"/>
      <c r="AK299" s="10"/>
      <c r="AL299" s="10"/>
      <c r="AM299" s="10"/>
      <c r="AN299" s="10"/>
      <c r="AO299" s="10"/>
    </row>
    <row r="300" spans="1:41">
      <c r="A300" s="8">
        <v>298</v>
      </c>
      <c r="B300" s="8">
        <v>2287</v>
      </c>
      <c r="C300" s="8" t="s">
        <v>465</v>
      </c>
      <c r="D300" s="8" t="s">
        <v>10</v>
      </c>
      <c r="E300" s="2" t="str">
        <f>"158.29"</f>
        <v>158.29</v>
      </c>
      <c r="F300" s="9"/>
      <c r="G300" s="9">
        <v>2017</v>
      </c>
      <c r="H300" s="10" t="str">
        <f>"226.68"</f>
        <v>226.68</v>
      </c>
      <c r="I300" s="10"/>
      <c r="J300" s="10"/>
      <c r="K300" s="10"/>
      <c r="L300" s="10"/>
      <c r="M300" s="10"/>
      <c r="N300" s="10"/>
      <c r="O300" s="10"/>
      <c r="P300" s="10"/>
      <c r="Q300" s="10" t="str">
        <f>"159.68"</f>
        <v>159.68</v>
      </c>
      <c r="R300" s="10" t="str">
        <f>"222.42"</f>
        <v>222.42</v>
      </c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 t="str">
        <f>"165.21"</f>
        <v>165.21</v>
      </c>
      <c r="AF300" s="10"/>
      <c r="AG300" s="10"/>
      <c r="AH300" s="10"/>
      <c r="AI300" s="10"/>
      <c r="AJ300" s="10"/>
      <c r="AK300" s="10"/>
      <c r="AL300" s="10" t="str">
        <f>"156.89"</f>
        <v>156.89</v>
      </c>
      <c r="AM300" s="10"/>
      <c r="AN300" s="10"/>
      <c r="AO300" s="10"/>
    </row>
    <row r="301" spans="1:41">
      <c r="A301" s="8">
        <v>299</v>
      </c>
      <c r="B301" s="8">
        <v>10677</v>
      </c>
      <c r="C301" s="8" t="s">
        <v>466</v>
      </c>
      <c r="D301" s="8" t="s">
        <v>8</v>
      </c>
      <c r="E301" s="2" t="str">
        <f>"158.39"</f>
        <v>158.39</v>
      </c>
      <c r="F301" s="9"/>
      <c r="G301" s="9">
        <v>2017</v>
      </c>
      <c r="H301" s="10" t="str">
        <f>"283.55"</f>
        <v>283.55</v>
      </c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 t="str">
        <f>"188.63"</f>
        <v>188.63</v>
      </c>
      <c r="AH301" s="10" t="str">
        <f>"280.68"</f>
        <v>280.68</v>
      </c>
      <c r="AI301" s="10" t="str">
        <f>"163.36"</f>
        <v>163.36</v>
      </c>
      <c r="AJ301" s="10" t="str">
        <f>"153.41"</f>
        <v>153.41</v>
      </c>
      <c r="AK301" s="10"/>
      <c r="AL301" s="10"/>
      <c r="AM301" s="10"/>
      <c r="AN301" s="10"/>
      <c r="AO301" s="10"/>
    </row>
    <row r="302" spans="1:41">
      <c r="A302" s="8">
        <v>300</v>
      </c>
      <c r="B302" s="8">
        <v>11429</v>
      </c>
      <c r="C302" s="8" t="s">
        <v>467</v>
      </c>
      <c r="D302" s="8" t="s">
        <v>10</v>
      </c>
      <c r="E302" s="2" t="str">
        <f>"158.84"</f>
        <v>158.84</v>
      </c>
      <c r="F302" s="9"/>
      <c r="G302" s="9">
        <v>2017</v>
      </c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 t="str">
        <f>"151.42"</f>
        <v>151.42</v>
      </c>
      <c r="AO302" s="10" t="str">
        <f>"166.25"</f>
        <v>166.25</v>
      </c>
    </row>
    <row r="303" spans="1:41">
      <c r="A303" s="8">
        <v>301</v>
      </c>
      <c r="B303" s="8">
        <v>11423</v>
      </c>
      <c r="C303" s="8" t="s">
        <v>468</v>
      </c>
      <c r="D303" s="8" t="s">
        <v>63</v>
      </c>
      <c r="E303" s="2" t="str">
        <f>"159.46"</f>
        <v>159.46</v>
      </c>
      <c r="F303" s="9"/>
      <c r="G303" s="9">
        <v>2017</v>
      </c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 t="str">
        <f>"125.84"</f>
        <v>125.84</v>
      </c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 t="str">
        <f>"193.07"</f>
        <v>193.07</v>
      </c>
      <c r="AM303" s="10"/>
      <c r="AN303" s="10"/>
      <c r="AO303" s="10"/>
    </row>
    <row r="304" spans="1:41">
      <c r="A304" s="8">
        <v>302</v>
      </c>
      <c r="B304" s="8">
        <v>4846</v>
      </c>
      <c r="C304" s="8" t="s">
        <v>469</v>
      </c>
      <c r="D304" s="8" t="s">
        <v>20</v>
      </c>
      <c r="E304" s="2" t="str">
        <f>"159.52"</f>
        <v>159.52</v>
      </c>
      <c r="F304" s="9"/>
      <c r="G304" s="9">
        <v>2017</v>
      </c>
      <c r="H304" s="10" t="str">
        <f>"183.41"</f>
        <v>183.41</v>
      </c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 t="str">
        <f>"142.07"</f>
        <v>142.07</v>
      </c>
      <c r="AH304" s="10" t="str">
        <f>"248.06"</f>
        <v>248.06</v>
      </c>
      <c r="AI304" s="10" t="str">
        <f>"176.96"</f>
        <v>176.96</v>
      </c>
      <c r="AJ304" s="10"/>
      <c r="AK304" s="10"/>
      <c r="AL304" s="10"/>
      <c r="AM304" s="10"/>
      <c r="AN304" s="10"/>
      <c r="AO304" s="10"/>
    </row>
    <row r="305" spans="1:41">
      <c r="A305" s="8">
        <v>303</v>
      </c>
      <c r="B305" s="8">
        <v>10517</v>
      </c>
      <c r="C305" s="8" t="s">
        <v>470</v>
      </c>
      <c r="D305" s="8" t="s">
        <v>336</v>
      </c>
      <c r="E305" s="2" t="str">
        <f>"159.60"</f>
        <v>159.60</v>
      </c>
      <c r="F305" s="9"/>
      <c r="G305" s="9">
        <v>2017</v>
      </c>
      <c r="H305" s="10" t="str">
        <f>"161.72"</f>
        <v>161.72</v>
      </c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 t="str">
        <f>"184.64"</f>
        <v>184.64</v>
      </c>
      <c r="AD305" s="10" t="str">
        <f>"201.83"</f>
        <v>201.83</v>
      </c>
      <c r="AE305" s="10"/>
      <c r="AF305" s="10"/>
      <c r="AG305" s="10" t="str">
        <f>"134.55"</f>
        <v>134.55</v>
      </c>
      <c r="AH305" s="10" t="str">
        <f>"206.21"</f>
        <v>206.21</v>
      </c>
      <c r="AI305" s="10"/>
      <c r="AJ305" s="10"/>
      <c r="AK305" s="10"/>
      <c r="AL305" s="10"/>
      <c r="AM305" s="10"/>
      <c r="AN305" s="10"/>
      <c r="AO305" s="10"/>
    </row>
    <row r="306" spans="1:41">
      <c r="A306" s="8">
        <v>304</v>
      </c>
      <c r="B306" s="8">
        <v>10226</v>
      </c>
      <c r="C306" s="8" t="s">
        <v>471</v>
      </c>
      <c r="D306" s="8" t="s">
        <v>78</v>
      </c>
      <c r="E306" s="2" t="str">
        <f>"159.73"</f>
        <v>159.73</v>
      </c>
      <c r="F306" s="9"/>
      <c r="G306" s="9">
        <v>2017</v>
      </c>
      <c r="H306" s="10" t="str">
        <f>"160.23"</f>
        <v>160.23</v>
      </c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 t="str">
        <f>"165.44"</f>
        <v>165.44</v>
      </c>
      <c r="AD306" s="10" t="str">
        <f>"154.02"</f>
        <v>154.02</v>
      </c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</row>
    <row r="307" spans="1:41">
      <c r="A307" s="8">
        <v>305</v>
      </c>
      <c r="B307" s="8">
        <v>3557</v>
      </c>
      <c r="C307" s="8" t="s">
        <v>472</v>
      </c>
      <c r="D307" s="8" t="s">
        <v>336</v>
      </c>
      <c r="E307" s="2" t="str">
        <f>"159.76"</f>
        <v>159.76</v>
      </c>
      <c r="F307" s="9" t="s">
        <v>11</v>
      </c>
      <c r="G307" s="9">
        <v>2017</v>
      </c>
      <c r="H307" s="10" t="str">
        <f>"119.76"</f>
        <v>119.76</v>
      </c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</row>
    <row r="308" spans="1:41">
      <c r="A308" s="8">
        <v>306</v>
      </c>
      <c r="B308" s="8">
        <v>10435</v>
      </c>
      <c r="C308" s="8" t="s">
        <v>473</v>
      </c>
      <c r="D308" s="8" t="s">
        <v>19</v>
      </c>
      <c r="E308" s="2" t="str">
        <f>"160.43"</f>
        <v>160.43</v>
      </c>
      <c r="F308" s="9"/>
      <c r="G308" s="9">
        <v>2017</v>
      </c>
      <c r="H308" s="10" t="str">
        <f>"369.46"</f>
        <v>369.46</v>
      </c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 t="str">
        <f>"284.86"</f>
        <v>284.86</v>
      </c>
      <c r="AC308" s="10" t="str">
        <f>"201.43"</f>
        <v>201.43</v>
      </c>
      <c r="AD308" s="10" t="str">
        <f>"243.09"</f>
        <v>243.09</v>
      </c>
      <c r="AE308" s="10"/>
      <c r="AF308" s="10"/>
      <c r="AG308" s="10"/>
      <c r="AH308" s="10"/>
      <c r="AI308" s="10"/>
      <c r="AJ308" s="10"/>
      <c r="AK308" s="10"/>
      <c r="AL308" s="10"/>
      <c r="AM308" s="10" t="str">
        <f>"371.68"</f>
        <v>371.68</v>
      </c>
      <c r="AN308" s="10" t="str">
        <f>"149.43"</f>
        <v>149.43</v>
      </c>
      <c r="AO308" s="10" t="str">
        <f>"171.43"</f>
        <v>171.43</v>
      </c>
    </row>
    <row r="309" spans="1:41">
      <c r="A309" s="8">
        <v>307</v>
      </c>
      <c r="B309" s="8">
        <v>4407</v>
      </c>
      <c r="C309" s="8" t="s">
        <v>474</v>
      </c>
      <c r="D309" s="8" t="s">
        <v>28</v>
      </c>
      <c r="E309" s="2" t="str">
        <f>"160.87"</f>
        <v>160.87</v>
      </c>
      <c r="F309" s="9"/>
      <c r="G309" s="9">
        <v>2017</v>
      </c>
      <c r="H309" s="10" t="str">
        <f>"151.14"</f>
        <v>151.14</v>
      </c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 t="str">
        <f>"168.27"</f>
        <v>168.27</v>
      </c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 t="str">
        <f>"153.46"</f>
        <v>153.46</v>
      </c>
      <c r="AJ309" s="10"/>
      <c r="AK309" s="10"/>
      <c r="AL309" s="10" t="str">
        <f>"214.63"</f>
        <v>214.63</v>
      </c>
      <c r="AM309" s="10"/>
      <c r="AN309" s="10"/>
      <c r="AO309" s="10"/>
    </row>
    <row r="310" spans="1:41">
      <c r="A310" s="8">
        <v>308</v>
      </c>
      <c r="B310" s="8">
        <v>6796</v>
      </c>
      <c r="C310" s="8" t="s">
        <v>475</v>
      </c>
      <c r="D310" s="8" t="s">
        <v>67</v>
      </c>
      <c r="E310" s="2" t="str">
        <f>"161.61"</f>
        <v>161.61</v>
      </c>
      <c r="F310" s="9"/>
      <c r="G310" s="9">
        <v>2017</v>
      </c>
      <c r="H310" s="10" t="str">
        <f>"214.95"</f>
        <v>214.95</v>
      </c>
      <c r="I310" s="10"/>
      <c r="J310" s="10"/>
      <c r="K310" s="10"/>
      <c r="L310" s="10"/>
      <c r="M310" s="10" t="str">
        <f>"189.55"</f>
        <v>189.55</v>
      </c>
      <c r="N310" s="10"/>
      <c r="O310" s="10" t="str">
        <f>"165.96"</f>
        <v>165.96</v>
      </c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 t="str">
        <f>"157.25"</f>
        <v>157.25</v>
      </c>
      <c r="AD310" s="10" t="str">
        <f>"179.34"</f>
        <v>179.34</v>
      </c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</row>
    <row r="311" spans="1:41">
      <c r="A311" s="8">
        <v>309</v>
      </c>
      <c r="B311" s="8">
        <v>8486</v>
      </c>
      <c r="C311" s="8" t="s">
        <v>476</v>
      </c>
      <c r="D311" s="8" t="s">
        <v>10</v>
      </c>
      <c r="E311" s="2" t="str">
        <f>"162.94"</f>
        <v>162.94</v>
      </c>
      <c r="F311" s="9"/>
      <c r="G311" s="9">
        <v>2017</v>
      </c>
      <c r="H311" s="10" t="str">
        <f>"154.20"</f>
        <v>154.20</v>
      </c>
      <c r="I311" s="10" t="str">
        <f>"201.71"</f>
        <v>201.71</v>
      </c>
      <c r="J311" s="10"/>
      <c r="K311" s="10" t="str">
        <f>"144.01"</f>
        <v>144.01</v>
      </c>
      <c r="L311" s="10"/>
      <c r="M311" s="10"/>
      <c r="N311" s="10"/>
      <c r="O311" s="10"/>
      <c r="P311" s="10"/>
      <c r="Q311" s="10"/>
      <c r="R311" s="10" t="str">
        <f>"181.87"</f>
        <v>181.87</v>
      </c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 t="str">
        <f>"189.85"</f>
        <v>189.85</v>
      </c>
      <c r="AG311" s="10"/>
      <c r="AH311" s="10"/>
      <c r="AI311" s="10"/>
      <c r="AJ311" s="10"/>
      <c r="AK311" s="10"/>
      <c r="AL311" s="10"/>
      <c r="AM311" s="10"/>
      <c r="AN311" s="10"/>
      <c r="AO311" s="10"/>
    </row>
    <row r="312" spans="1:41">
      <c r="A312" s="8">
        <v>310</v>
      </c>
      <c r="B312" s="8">
        <v>5292</v>
      </c>
      <c r="C312" s="8" t="s">
        <v>477</v>
      </c>
      <c r="D312" s="8" t="s">
        <v>48</v>
      </c>
      <c r="E312" s="2" t="str">
        <f>"163.36"</f>
        <v>163.36</v>
      </c>
      <c r="F312" s="9"/>
      <c r="G312" s="9">
        <v>2017</v>
      </c>
      <c r="H312" s="10" t="str">
        <f>"179.17"</f>
        <v>179.17</v>
      </c>
      <c r="I312" s="10"/>
      <c r="J312" s="10"/>
      <c r="K312" s="10"/>
      <c r="L312" s="10"/>
      <c r="M312" s="10" t="str">
        <f>"169.00"</f>
        <v>169.00</v>
      </c>
      <c r="N312" s="10"/>
      <c r="O312" s="10" t="str">
        <f>"157.71"</f>
        <v>157.71</v>
      </c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 t="str">
        <f>"234.88"</f>
        <v>234.88</v>
      </c>
      <c r="AM312" s="10"/>
      <c r="AN312" s="10"/>
      <c r="AO312" s="10"/>
    </row>
    <row r="313" spans="1:41">
      <c r="A313" s="8">
        <v>311</v>
      </c>
      <c r="B313" s="8">
        <v>10704</v>
      </c>
      <c r="C313" s="8" t="s">
        <v>479</v>
      </c>
      <c r="D313" s="8" t="s">
        <v>26</v>
      </c>
      <c r="E313" s="2" t="str">
        <f>"164.11"</f>
        <v>164.11</v>
      </c>
      <c r="F313" s="9"/>
      <c r="G313" s="9">
        <v>2017</v>
      </c>
      <c r="H313" s="10" t="str">
        <f>"242.31"</f>
        <v>242.31</v>
      </c>
      <c r="I313" s="10" t="str">
        <f>"161.20"</f>
        <v>161.20</v>
      </c>
      <c r="J313" s="10"/>
      <c r="K313" s="10" t="str">
        <f>"167.01"</f>
        <v>167.01</v>
      </c>
      <c r="L313" s="10"/>
      <c r="M313" s="10"/>
      <c r="N313" s="10"/>
      <c r="O313" s="10"/>
      <c r="P313" s="10"/>
      <c r="Q313" s="10"/>
      <c r="R313" s="10"/>
      <c r="S313" s="10" t="str">
        <f>"198.21"</f>
        <v>198.21</v>
      </c>
      <c r="T313" s="10"/>
      <c r="U313" s="10"/>
      <c r="V313" s="10"/>
      <c r="W313" s="10"/>
      <c r="X313" s="10"/>
      <c r="Y313" s="10"/>
      <c r="Z313" s="10"/>
      <c r="AA313" s="10"/>
      <c r="AB313" s="10"/>
      <c r="AC313" s="10" t="str">
        <f>"232.42"</f>
        <v>232.42</v>
      </c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</row>
    <row r="314" spans="1:41">
      <c r="A314" s="8">
        <v>312</v>
      </c>
      <c r="B314" s="8">
        <v>2989</v>
      </c>
      <c r="C314" s="8" t="s">
        <v>480</v>
      </c>
      <c r="D314" s="8" t="s">
        <v>46</v>
      </c>
      <c r="E314" s="2" t="str">
        <f>"164.14"</f>
        <v>164.14</v>
      </c>
      <c r="F314" s="9"/>
      <c r="G314" s="9">
        <v>2017</v>
      </c>
      <c r="H314" s="10" t="str">
        <f>"202.81"</f>
        <v>202.81</v>
      </c>
      <c r="I314" s="10"/>
      <c r="J314" s="10"/>
      <c r="K314" s="10"/>
      <c r="L314" s="10"/>
      <c r="M314" s="10" t="str">
        <f>"193.16"</f>
        <v>193.16</v>
      </c>
      <c r="N314" s="10"/>
      <c r="O314" s="10" t="str">
        <f>"175.37"</f>
        <v>175.37</v>
      </c>
      <c r="P314" s="10"/>
      <c r="Q314" s="10"/>
      <c r="R314" s="10"/>
      <c r="S314" s="10"/>
      <c r="T314" s="10" t="str">
        <f>"179.28"</f>
        <v>179.28</v>
      </c>
      <c r="U314" s="10"/>
      <c r="V314" s="10"/>
      <c r="W314" s="10"/>
      <c r="X314" s="10"/>
      <c r="Y314" s="10"/>
      <c r="Z314" s="10" t="str">
        <f>"152.90"</f>
        <v>152.90</v>
      </c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</row>
    <row r="315" spans="1:41">
      <c r="A315" s="8">
        <v>313</v>
      </c>
      <c r="B315" s="8">
        <v>9812</v>
      </c>
      <c r="C315" s="8" t="s">
        <v>481</v>
      </c>
      <c r="D315" s="8" t="s">
        <v>77</v>
      </c>
      <c r="E315" s="2" t="str">
        <f>"164.37"</f>
        <v>164.37</v>
      </c>
      <c r="F315" s="9"/>
      <c r="G315" s="9">
        <v>2017</v>
      </c>
      <c r="H315" s="10" t="str">
        <f>"185.30"</f>
        <v>185.30</v>
      </c>
      <c r="I315" s="10"/>
      <c r="J315" s="10" t="str">
        <f>"162.08"</f>
        <v>162.08</v>
      </c>
      <c r="K315" s="10"/>
      <c r="L315" s="10" t="str">
        <f>"195.61"</f>
        <v>195.61</v>
      </c>
      <c r="M315" s="10" t="str">
        <f>"166.65"</f>
        <v>166.65</v>
      </c>
      <c r="N315" s="10"/>
      <c r="O315" s="10" t="str">
        <f>"167.28"</f>
        <v>167.28</v>
      </c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 t="str">
        <f>"194.86"</f>
        <v>194.86</v>
      </c>
      <c r="AK315" s="10"/>
      <c r="AL315" s="10"/>
      <c r="AM315" s="10"/>
      <c r="AN315" s="10"/>
      <c r="AO315" s="10"/>
    </row>
    <row r="316" spans="1:41">
      <c r="A316" s="8">
        <v>314</v>
      </c>
      <c r="B316" s="8">
        <v>11254</v>
      </c>
      <c r="C316" s="8" t="s">
        <v>482</v>
      </c>
      <c r="D316" s="8" t="s">
        <v>10</v>
      </c>
      <c r="E316" s="2" t="str">
        <f>"164.60"</f>
        <v>164.60</v>
      </c>
      <c r="F316" s="9"/>
      <c r="G316" s="9">
        <v>2017</v>
      </c>
      <c r="H316" s="10"/>
      <c r="I316" s="10"/>
      <c r="J316" s="10"/>
      <c r="K316" s="10"/>
      <c r="L316" s="10"/>
      <c r="M316" s="10"/>
      <c r="N316" s="10"/>
      <c r="O316" s="10"/>
      <c r="P316" s="10"/>
      <c r="Q316" s="10" t="str">
        <f>"249.00"</f>
        <v>249.00</v>
      </c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 t="str">
        <f>"198.48"</f>
        <v>198.48</v>
      </c>
      <c r="AF316" s="10" t="str">
        <f>"177.90"</f>
        <v>177.90</v>
      </c>
      <c r="AG316" s="10"/>
      <c r="AH316" s="10"/>
      <c r="AI316" s="10"/>
      <c r="AJ316" s="10"/>
      <c r="AK316" s="10"/>
      <c r="AL316" s="10"/>
      <c r="AM316" s="10"/>
      <c r="AN316" s="10" t="str">
        <f>"151.29"</f>
        <v>151.29</v>
      </c>
      <c r="AO316" s="10" t="str">
        <f>"179.27"</f>
        <v>179.27</v>
      </c>
    </row>
    <row r="317" spans="1:41">
      <c r="A317" s="8">
        <v>315</v>
      </c>
      <c r="B317" s="8">
        <v>6856</v>
      </c>
      <c r="C317" s="8" t="s">
        <v>483</v>
      </c>
      <c r="D317" s="8" t="s">
        <v>51</v>
      </c>
      <c r="E317" s="2" t="str">
        <f>"164.86"</f>
        <v>164.86</v>
      </c>
      <c r="F317" s="9"/>
      <c r="G317" s="9">
        <v>2017</v>
      </c>
      <c r="H317" s="10" t="str">
        <f>"212.46"</f>
        <v>212.46</v>
      </c>
      <c r="I317" s="10"/>
      <c r="J317" s="10"/>
      <c r="K317" s="10"/>
      <c r="L317" s="10"/>
      <c r="M317" s="10" t="str">
        <f>"174.49"</f>
        <v>174.49</v>
      </c>
      <c r="N317" s="10"/>
      <c r="O317" s="10" t="str">
        <f>"155.23"</f>
        <v>155.23</v>
      </c>
      <c r="P317" s="10"/>
      <c r="Q317" s="10"/>
      <c r="R317" s="10"/>
      <c r="S317" s="10" t="str">
        <f>"350.45"</f>
        <v>350.45</v>
      </c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 t="str">
        <f>"224.75"</f>
        <v>224.75</v>
      </c>
      <c r="AH317" s="10"/>
      <c r="AI317" s="10"/>
      <c r="AJ317" s="10"/>
      <c r="AK317" s="10"/>
      <c r="AL317" s="10"/>
      <c r="AM317" s="10"/>
      <c r="AN317" s="10"/>
      <c r="AO317" s="10"/>
    </row>
    <row r="318" spans="1:41">
      <c r="A318" s="8">
        <v>316</v>
      </c>
      <c r="B318" s="8">
        <v>5374</v>
      </c>
      <c r="C318" s="8" t="s">
        <v>484</v>
      </c>
      <c r="D318" s="8" t="s">
        <v>78</v>
      </c>
      <c r="E318" s="2" t="str">
        <f>"165.16"</f>
        <v>165.16</v>
      </c>
      <c r="F318" s="9"/>
      <c r="G318" s="9">
        <v>2017</v>
      </c>
      <c r="H318" s="10" t="str">
        <f>"315.08"</f>
        <v>315.08</v>
      </c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 t="str">
        <f>"210.27"</f>
        <v>210.27</v>
      </c>
      <c r="T318" s="10"/>
      <c r="U318" s="10"/>
      <c r="V318" s="10"/>
      <c r="W318" s="10"/>
      <c r="X318" s="10"/>
      <c r="Y318" s="10"/>
      <c r="Z318" s="10" t="str">
        <f>"120.05"</f>
        <v>120.05</v>
      </c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</row>
    <row r="319" spans="1:41">
      <c r="A319" s="8">
        <v>317</v>
      </c>
      <c r="B319" s="8">
        <v>1193</v>
      </c>
      <c r="C319" s="8" t="s">
        <v>485</v>
      </c>
      <c r="D319" s="8" t="s">
        <v>32</v>
      </c>
      <c r="E319" s="2" t="str">
        <f>"165.19"</f>
        <v>165.19</v>
      </c>
      <c r="F319" s="9"/>
      <c r="G319" s="9">
        <v>2017</v>
      </c>
      <c r="H319" s="10" t="str">
        <f>"197.46"</f>
        <v>197.46</v>
      </c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 t="str">
        <f>"153.22"</f>
        <v>153.22</v>
      </c>
      <c r="T319" s="10"/>
      <c r="U319" s="10"/>
      <c r="V319" s="10"/>
      <c r="W319" s="10"/>
      <c r="X319" s="10"/>
      <c r="Y319" s="10"/>
      <c r="Z319" s="10"/>
      <c r="AA319" s="10"/>
      <c r="AB319" s="10"/>
      <c r="AC319" s="10" t="str">
        <f>"196.63"</f>
        <v>196.63</v>
      </c>
      <c r="AD319" s="10" t="str">
        <f>"177.16"</f>
        <v>177.16</v>
      </c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</row>
    <row r="320" spans="1:41">
      <c r="A320" s="8">
        <v>318</v>
      </c>
      <c r="B320" s="8">
        <v>10425</v>
      </c>
      <c r="C320" s="8" t="s">
        <v>486</v>
      </c>
      <c r="D320" s="8" t="s">
        <v>19</v>
      </c>
      <c r="E320" s="2" t="str">
        <f>"165.30"</f>
        <v>165.30</v>
      </c>
      <c r="F320" s="9"/>
      <c r="G320" s="9">
        <v>2017</v>
      </c>
      <c r="H320" s="10" t="str">
        <f>"421.57"</f>
        <v>421.57</v>
      </c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 t="str">
        <f>"260.91"</f>
        <v>260.91</v>
      </c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 t="str">
        <f>"314.27"</f>
        <v>314.27</v>
      </c>
      <c r="AN320" s="10" t="str">
        <f>"172.59"</f>
        <v>172.59</v>
      </c>
      <c r="AO320" s="10" t="str">
        <f>"158.01"</f>
        <v>158.01</v>
      </c>
    </row>
    <row r="321" spans="1:41">
      <c r="A321" s="8">
        <v>319</v>
      </c>
      <c r="B321" s="8">
        <v>6963</v>
      </c>
      <c r="C321" s="8" t="s">
        <v>487</v>
      </c>
      <c r="D321" s="8" t="s">
        <v>82</v>
      </c>
      <c r="E321" s="2" t="str">
        <f>"165.58"</f>
        <v>165.58</v>
      </c>
      <c r="F321" s="9"/>
      <c r="G321" s="9">
        <v>2017</v>
      </c>
      <c r="H321" s="10" t="str">
        <f>"137.31"</f>
        <v>137.31</v>
      </c>
      <c r="I321" s="10"/>
      <c r="J321" s="10" t="str">
        <f>"142.84"</f>
        <v>142.84</v>
      </c>
      <c r="K321" s="10"/>
      <c r="L321" s="10" t="str">
        <f>"188.31"</f>
        <v>188.31</v>
      </c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</row>
    <row r="322" spans="1:41">
      <c r="A322" s="8">
        <v>320</v>
      </c>
      <c r="B322" s="8">
        <v>2480</v>
      </c>
      <c r="C322" s="8" t="s">
        <v>488</v>
      </c>
      <c r="D322" s="8" t="s">
        <v>43</v>
      </c>
      <c r="E322" s="2" t="str">
        <f>"165.71"</f>
        <v>165.71</v>
      </c>
      <c r="F322" s="9" t="s">
        <v>11</v>
      </c>
      <c r="G322" s="9">
        <v>2017</v>
      </c>
      <c r="H322" s="10" t="str">
        <f>"125.71"</f>
        <v>125.71</v>
      </c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</row>
    <row r="323" spans="1:41">
      <c r="A323" s="8">
        <v>321</v>
      </c>
      <c r="B323" s="8">
        <v>4225</v>
      </c>
      <c r="C323" s="8" t="s">
        <v>489</v>
      </c>
      <c r="D323" s="8" t="s">
        <v>92</v>
      </c>
      <c r="E323" s="2" t="str">
        <f>"166.05"</f>
        <v>166.05</v>
      </c>
      <c r="F323" s="9"/>
      <c r="G323" s="9">
        <v>2017</v>
      </c>
      <c r="H323" s="10" t="str">
        <f>"177.11"</f>
        <v>177.11</v>
      </c>
      <c r="I323" s="10"/>
      <c r="J323" s="10"/>
      <c r="K323" s="10"/>
      <c r="L323" s="10"/>
      <c r="M323" s="10"/>
      <c r="N323" s="10" t="str">
        <f>"157.22"</f>
        <v>157.22</v>
      </c>
      <c r="O323" s="10"/>
      <c r="P323" s="10" t="str">
        <f>"174.88"</f>
        <v>174.88</v>
      </c>
      <c r="Q323" s="10"/>
      <c r="R323" s="10"/>
      <c r="S323" s="10"/>
      <c r="T323" s="10" t="str">
        <f>"202.57"</f>
        <v>202.57</v>
      </c>
      <c r="U323" s="10"/>
      <c r="V323" s="10"/>
      <c r="W323" s="10"/>
      <c r="X323" s="10"/>
      <c r="Y323" s="10"/>
      <c r="Z323" s="10"/>
      <c r="AA323" s="10" t="str">
        <f>"209.82"</f>
        <v>209.82</v>
      </c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</row>
    <row r="324" spans="1:41">
      <c r="A324" s="8">
        <v>322</v>
      </c>
      <c r="B324" s="8">
        <v>198</v>
      </c>
      <c r="C324" s="8" t="s">
        <v>490</v>
      </c>
      <c r="D324" s="8" t="s">
        <v>186</v>
      </c>
      <c r="E324" s="2" t="str">
        <f>"166.32"</f>
        <v>166.32</v>
      </c>
      <c r="F324" s="9" t="s">
        <v>11</v>
      </c>
      <c r="G324" s="9">
        <v>2017</v>
      </c>
      <c r="H324" s="10" t="str">
        <f>"126.32"</f>
        <v>126.32</v>
      </c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</row>
    <row r="325" spans="1:41">
      <c r="A325" s="8">
        <v>323</v>
      </c>
      <c r="B325" s="8">
        <v>10530</v>
      </c>
      <c r="C325" s="8" t="s">
        <v>491</v>
      </c>
      <c r="D325" s="8" t="s">
        <v>430</v>
      </c>
      <c r="E325" s="2" t="str">
        <f>"167.04"</f>
        <v>167.04</v>
      </c>
      <c r="F325" s="9"/>
      <c r="G325" s="9">
        <v>2017</v>
      </c>
      <c r="H325" s="10" t="str">
        <f>"167.35"</f>
        <v>167.35</v>
      </c>
      <c r="I325" s="10"/>
      <c r="J325" s="10"/>
      <c r="K325" s="10"/>
      <c r="L325" s="10" t="str">
        <f>"146.81"</f>
        <v>146.81</v>
      </c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 t="str">
        <f>"187.26"</f>
        <v>187.26</v>
      </c>
      <c r="AK325" s="10"/>
      <c r="AL325" s="10" t="str">
        <f>"231.69"</f>
        <v>231.69</v>
      </c>
      <c r="AM325" s="10"/>
      <c r="AN325" s="10"/>
      <c r="AO325" s="10"/>
    </row>
    <row r="326" spans="1:41">
      <c r="A326" s="8">
        <v>324</v>
      </c>
      <c r="B326" s="8">
        <v>7604</v>
      </c>
      <c r="C326" s="8" t="s">
        <v>492</v>
      </c>
      <c r="D326" s="8" t="s">
        <v>36</v>
      </c>
      <c r="E326" s="2" t="str">
        <f>"167.27"</f>
        <v>167.27</v>
      </c>
      <c r="F326" s="9"/>
      <c r="G326" s="9">
        <v>2017</v>
      </c>
      <c r="H326" s="10" t="str">
        <f>"255.10"</f>
        <v>255.10</v>
      </c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 t="str">
        <f>"258.00"</f>
        <v>258.00</v>
      </c>
      <c r="U326" s="10"/>
      <c r="V326" s="10"/>
      <c r="W326" s="10"/>
      <c r="X326" s="10"/>
      <c r="Y326" s="10"/>
      <c r="Z326" s="10" t="str">
        <f>"132.56"</f>
        <v>132.56</v>
      </c>
      <c r="AA326" s="10"/>
      <c r="AB326" s="10"/>
      <c r="AC326" s="10"/>
      <c r="AD326" s="10"/>
      <c r="AE326" s="10"/>
      <c r="AF326" s="10"/>
      <c r="AG326" s="10"/>
      <c r="AH326" s="10"/>
      <c r="AI326" s="10" t="str">
        <f>"201.97"</f>
        <v>201.97</v>
      </c>
      <c r="AJ326" s="10"/>
      <c r="AK326" s="10"/>
      <c r="AL326" s="10"/>
      <c r="AM326" s="10"/>
      <c r="AN326" s="10"/>
      <c r="AO326" s="10"/>
    </row>
    <row r="327" spans="1:41">
      <c r="A327" s="8">
        <v>325</v>
      </c>
      <c r="B327" s="8">
        <v>10577</v>
      </c>
      <c r="C327" s="8" t="s">
        <v>493</v>
      </c>
      <c r="D327" s="8" t="s">
        <v>10</v>
      </c>
      <c r="E327" s="2" t="str">
        <f>"168.13"</f>
        <v>168.13</v>
      </c>
      <c r="F327" s="9"/>
      <c r="G327" s="9">
        <v>2017</v>
      </c>
      <c r="H327" s="10" t="str">
        <f>"232.50"</f>
        <v>232.50</v>
      </c>
      <c r="I327" s="10" t="str">
        <f>"177.08"</f>
        <v>177.08</v>
      </c>
      <c r="J327" s="10"/>
      <c r="K327" s="10" t="str">
        <f>"171.11"</f>
        <v>171.11</v>
      </c>
      <c r="L327" s="10"/>
      <c r="M327" s="10"/>
      <c r="N327" s="10"/>
      <c r="O327" s="10"/>
      <c r="P327" s="10"/>
      <c r="Q327" s="10" t="str">
        <f>"214.50"</f>
        <v>214.50</v>
      </c>
      <c r="R327" s="10" t="str">
        <f>"198.46"</f>
        <v>198.46</v>
      </c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 t="str">
        <f>"168.97"</f>
        <v>168.97</v>
      </c>
      <c r="AF327" s="10" t="str">
        <f>"167.28"</f>
        <v>167.28</v>
      </c>
      <c r="AG327" s="10"/>
      <c r="AH327" s="10"/>
      <c r="AI327" s="10"/>
      <c r="AJ327" s="10"/>
      <c r="AK327" s="10"/>
      <c r="AL327" s="10"/>
      <c r="AM327" s="10"/>
      <c r="AN327" s="10"/>
      <c r="AO327" s="10"/>
    </row>
    <row r="328" spans="1:41">
      <c r="A328" s="8">
        <v>326</v>
      </c>
      <c r="B328" s="8">
        <v>1188</v>
      </c>
      <c r="C328" s="8" t="s">
        <v>494</v>
      </c>
      <c r="D328" s="8" t="s">
        <v>319</v>
      </c>
      <c r="E328" s="2" t="str">
        <f>"168.64"</f>
        <v>168.64</v>
      </c>
      <c r="F328" s="9"/>
      <c r="G328" s="9">
        <v>2017</v>
      </c>
      <c r="H328" s="10" t="str">
        <f>"247.23"</f>
        <v>247.23</v>
      </c>
      <c r="I328" s="10"/>
      <c r="J328" s="10" t="str">
        <f>"160.28"</f>
        <v>160.28</v>
      </c>
      <c r="K328" s="10"/>
      <c r="L328" s="10" t="str">
        <f>"177.00"</f>
        <v>177.00</v>
      </c>
      <c r="M328" s="10"/>
      <c r="N328" s="10"/>
      <c r="O328" s="10"/>
      <c r="P328" s="10"/>
      <c r="Q328" s="10"/>
      <c r="R328" s="10"/>
      <c r="S328" s="10" t="str">
        <f>"237.47"</f>
        <v>237.47</v>
      </c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</row>
    <row r="329" spans="1:41">
      <c r="A329" s="8">
        <v>327</v>
      </c>
      <c r="B329" s="8">
        <v>11359</v>
      </c>
      <c r="C329" s="8" t="s">
        <v>495</v>
      </c>
      <c r="D329" s="8" t="s">
        <v>80</v>
      </c>
      <c r="E329" s="2" t="str">
        <f>"168.79"</f>
        <v>168.79</v>
      </c>
      <c r="F329" s="9" t="s">
        <v>9</v>
      </c>
      <c r="G329" s="9">
        <v>2017</v>
      </c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 t="str">
        <f>"128.79"</f>
        <v>128.79</v>
      </c>
      <c r="AJ329" s="10"/>
      <c r="AK329" s="10"/>
      <c r="AL329" s="10"/>
      <c r="AM329" s="10"/>
      <c r="AN329" s="10"/>
      <c r="AO329" s="10"/>
    </row>
    <row r="330" spans="1:41">
      <c r="A330" s="8">
        <v>328</v>
      </c>
      <c r="B330" s="8">
        <v>1047</v>
      </c>
      <c r="C330" s="8" t="s">
        <v>496</v>
      </c>
      <c r="D330" s="8" t="s">
        <v>28</v>
      </c>
      <c r="E330" s="2" t="str">
        <f>"169.31"</f>
        <v>169.31</v>
      </c>
      <c r="F330" s="9"/>
      <c r="G330" s="9">
        <v>2017</v>
      </c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 t="str">
        <f>"156.44"</f>
        <v>156.44</v>
      </c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 t="str">
        <f>"182.18"</f>
        <v>182.18</v>
      </c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</row>
    <row r="331" spans="1:41">
      <c r="A331" s="8">
        <v>329</v>
      </c>
      <c r="B331" s="8">
        <v>10988</v>
      </c>
      <c r="C331" s="8" t="s">
        <v>497</v>
      </c>
      <c r="D331" s="8" t="s">
        <v>68</v>
      </c>
      <c r="E331" s="2" t="str">
        <f>"169.33"</f>
        <v>169.33</v>
      </c>
      <c r="F331" s="9"/>
      <c r="G331" s="9">
        <v>2017</v>
      </c>
      <c r="H331" s="10" t="str">
        <f>"201.75"</f>
        <v>201.75</v>
      </c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 t="str">
        <f>"149.53"</f>
        <v>149.53</v>
      </c>
      <c r="AK331" s="10"/>
      <c r="AL331" s="10" t="str">
        <f>"189.13"</f>
        <v>189.13</v>
      </c>
      <c r="AM331" s="10"/>
      <c r="AN331" s="10"/>
      <c r="AO331" s="10"/>
    </row>
    <row r="332" spans="1:41">
      <c r="A332" s="8">
        <v>330</v>
      </c>
      <c r="B332" s="8">
        <v>5343</v>
      </c>
      <c r="C332" s="8" t="s">
        <v>498</v>
      </c>
      <c r="D332" s="8" t="s">
        <v>75</v>
      </c>
      <c r="E332" s="2" t="str">
        <f>"169.33"</f>
        <v>169.33</v>
      </c>
      <c r="F332" s="9"/>
      <c r="G332" s="9">
        <v>2017</v>
      </c>
      <c r="H332" s="10" t="str">
        <f>"225.16"</f>
        <v>225.16</v>
      </c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 t="str">
        <f>"188.72"</f>
        <v>188.72</v>
      </c>
      <c r="AA332" s="10"/>
      <c r="AB332" s="10"/>
      <c r="AC332" s="10" t="str">
        <f>"173.64"</f>
        <v>173.64</v>
      </c>
      <c r="AD332" s="10" t="str">
        <f>"176.94"</f>
        <v>176.94</v>
      </c>
      <c r="AE332" s="10"/>
      <c r="AF332" s="10"/>
      <c r="AG332" s="10" t="str">
        <f>"165.01"</f>
        <v>165.01</v>
      </c>
      <c r="AH332" s="10" t="str">
        <f>"260.03"</f>
        <v>260.03</v>
      </c>
      <c r="AI332" s="10"/>
      <c r="AJ332" s="10"/>
      <c r="AK332" s="10"/>
      <c r="AL332" s="10"/>
      <c r="AM332" s="10"/>
      <c r="AN332" s="10"/>
      <c r="AO332" s="10"/>
    </row>
    <row r="333" spans="1:41">
      <c r="A333" s="8">
        <v>331</v>
      </c>
      <c r="B333" s="8">
        <v>10343</v>
      </c>
      <c r="C333" s="8" t="s">
        <v>499</v>
      </c>
      <c r="D333" s="8" t="s">
        <v>10</v>
      </c>
      <c r="E333" s="2" t="str">
        <f>"170.11"</f>
        <v>170.11</v>
      </c>
      <c r="F333" s="9"/>
      <c r="G333" s="9">
        <v>2017</v>
      </c>
      <c r="H333" s="10" t="str">
        <f>"167.58"</f>
        <v>167.58</v>
      </c>
      <c r="I333" s="10"/>
      <c r="J333" s="10"/>
      <c r="K333" s="10"/>
      <c r="L333" s="10"/>
      <c r="M333" s="10"/>
      <c r="N333" s="10"/>
      <c r="O333" s="10"/>
      <c r="P333" s="10"/>
      <c r="Q333" s="10"/>
      <c r="R333" s="10" t="str">
        <f>"195.33"</f>
        <v>195.33</v>
      </c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 t="str">
        <f>"144.89"</f>
        <v>144.89</v>
      </c>
      <c r="AG333" s="10"/>
      <c r="AH333" s="10"/>
      <c r="AI333" s="10"/>
      <c r="AJ333" s="10"/>
      <c r="AK333" s="10"/>
      <c r="AL333" s="10"/>
      <c r="AM333" s="10"/>
      <c r="AN333" s="10"/>
      <c r="AO333" s="10"/>
    </row>
    <row r="334" spans="1:41">
      <c r="A334" s="8">
        <v>332</v>
      </c>
      <c r="B334" s="8">
        <v>10332</v>
      </c>
      <c r="C334" s="8" t="s">
        <v>500</v>
      </c>
      <c r="D334" s="8" t="s">
        <v>12</v>
      </c>
      <c r="E334" s="2" t="str">
        <f>"170.61"</f>
        <v>170.61</v>
      </c>
      <c r="F334" s="9"/>
      <c r="G334" s="9">
        <v>2017</v>
      </c>
      <c r="H334" s="10" t="str">
        <f>"223.43"</f>
        <v>223.43</v>
      </c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 t="str">
        <f>"163.76"</f>
        <v>163.76</v>
      </c>
      <c r="V334" s="10"/>
      <c r="W334" s="10"/>
      <c r="X334" s="10" t="str">
        <f>"177.46"</f>
        <v>177.46</v>
      </c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</row>
    <row r="335" spans="1:41">
      <c r="A335" s="8">
        <v>333</v>
      </c>
      <c r="B335" s="8">
        <v>3908</v>
      </c>
      <c r="C335" s="8" t="s">
        <v>501</v>
      </c>
      <c r="D335" s="8" t="s">
        <v>99</v>
      </c>
      <c r="E335" s="2" t="str">
        <f>"170.76"</f>
        <v>170.76</v>
      </c>
      <c r="F335" s="9"/>
      <c r="G335" s="9">
        <v>2017</v>
      </c>
      <c r="H335" s="10" t="str">
        <f>"129.50"</f>
        <v>129.50</v>
      </c>
      <c r="I335" s="10"/>
      <c r="J335" s="10"/>
      <c r="K335" s="10"/>
      <c r="L335" s="10"/>
      <c r="M335" s="10"/>
      <c r="N335" s="10"/>
      <c r="O335" s="10" t="str">
        <f>"150.77"</f>
        <v>150.77</v>
      </c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 t="str">
        <f>"190.75"</f>
        <v>190.75</v>
      </c>
      <c r="AA335" s="10"/>
      <c r="AB335" s="10"/>
      <c r="AC335" s="10"/>
      <c r="AD335" s="10"/>
      <c r="AE335" s="10"/>
      <c r="AF335" s="10"/>
      <c r="AG335" s="10"/>
      <c r="AH335" s="10"/>
      <c r="AI335" s="10" t="str">
        <f>"197.94"</f>
        <v>197.94</v>
      </c>
      <c r="AJ335" s="10"/>
      <c r="AK335" s="10"/>
      <c r="AL335" s="10"/>
      <c r="AM335" s="10"/>
      <c r="AN335" s="10"/>
      <c r="AO335" s="10"/>
    </row>
    <row r="336" spans="1:41">
      <c r="A336" s="8">
        <v>334</v>
      </c>
      <c r="B336" s="8">
        <v>3611</v>
      </c>
      <c r="C336" s="8" t="s">
        <v>502</v>
      </c>
      <c r="D336" s="8" t="s">
        <v>254</v>
      </c>
      <c r="E336" s="2" t="str">
        <f>"171.01"</f>
        <v>171.01</v>
      </c>
      <c r="F336" s="9"/>
      <c r="G336" s="9">
        <v>2017</v>
      </c>
      <c r="H336" s="10" t="str">
        <f>"224.54"</f>
        <v>224.54</v>
      </c>
      <c r="I336" s="10"/>
      <c r="J336" s="10"/>
      <c r="K336" s="10"/>
      <c r="L336" s="10"/>
      <c r="M336" s="10" t="str">
        <f>"185.79"</f>
        <v>185.79</v>
      </c>
      <c r="N336" s="10"/>
      <c r="O336" s="10" t="str">
        <f>"156.22"</f>
        <v>156.22</v>
      </c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</row>
    <row r="337" spans="1:41">
      <c r="A337" s="8">
        <v>335</v>
      </c>
      <c r="B337" s="8">
        <v>503</v>
      </c>
      <c r="C337" s="8" t="s">
        <v>503</v>
      </c>
      <c r="D337" s="8" t="s">
        <v>21</v>
      </c>
      <c r="E337" s="2" t="str">
        <f>"171.11"</f>
        <v>171.11</v>
      </c>
      <c r="F337" s="9"/>
      <c r="G337" s="9">
        <v>2017</v>
      </c>
      <c r="H337" s="10" t="str">
        <f>"195.03"</f>
        <v>195.03</v>
      </c>
      <c r="I337" s="10"/>
      <c r="J337" s="10"/>
      <c r="K337" s="10"/>
      <c r="L337" s="10"/>
      <c r="M337" s="10" t="str">
        <f>"186.57"</f>
        <v>186.57</v>
      </c>
      <c r="N337" s="10"/>
      <c r="O337" s="10" t="str">
        <f>"199.80"</f>
        <v>199.80</v>
      </c>
      <c r="P337" s="10"/>
      <c r="Q337" s="10"/>
      <c r="R337" s="10"/>
      <c r="S337" s="10" t="str">
        <f>"327.32"</f>
        <v>327.32</v>
      </c>
      <c r="T337" s="10"/>
      <c r="U337" s="10"/>
      <c r="V337" s="10"/>
      <c r="W337" s="10"/>
      <c r="X337" s="10"/>
      <c r="Y337" s="10"/>
      <c r="Z337" s="10" t="str">
        <f>"204.36"</f>
        <v>204.36</v>
      </c>
      <c r="AA337" s="10"/>
      <c r="AB337" s="10"/>
      <c r="AC337" s="10"/>
      <c r="AD337" s="10"/>
      <c r="AE337" s="10"/>
      <c r="AF337" s="10"/>
      <c r="AG337" s="10" t="str">
        <f>"155.64"</f>
        <v>155.64</v>
      </c>
      <c r="AH337" s="10" t="str">
        <f>"251.35"</f>
        <v>251.35</v>
      </c>
      <c r="AI337" s="10" t="str">
        <f>"188.20"</f>
        <v>188.20</v>
      </c>
      <c r="AJ337" s="10"/>
      <c r="AK337" s="10"/>
      <c r="AL337" s="10"/>
      <c r="AM337" s="10"/>
      <c r="AN337" s="10"/>
      <c r="AO337" s="10"/>
    </row>
    <row r="338" spans="1:41">
      <c r="A338" s="8">
        <v>336</v>
      </c>
      <c r="B338" s="8">
        <v>10320</v>
      </c>
      <c r="C338" s="8" t="s">
        <v>504</v>
      </c>
      <c r="D338" s="8" t="s">
        <v>38</v>
      </c>
      <c r="E338" s="2" t="str">
        <f>"171.24"</f>
        <v>171.24</v>
      </c>
      <c r="F338" s="9" t="s">
        <v>11</v>
      </c>
      <c r="G338" s="9">
        <v>2017</v>
      </c>
      <c r="H338" s="10" t="str">
        <f>"131.24"</f>
        <v>131.24</v>
      </c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</row>
    <row r="339" spans="1:41">
      <c r="A339" s="8">
        <v>337</v>
      </c>
      <c r="B339" s="8">
        <v>7726</v>
      </c>
      <c r="C339" s="8" t="s">
        <v>505</v>
      </c>
      <c r="D339" s="8" t="s">
        <v>58</v>
      </c>
      <c r="E339" s="2" t="str">
        <f>"171.59"</f>
        <v>171.59</v>
      </c>
      <c r="F339" s="9"/>
      <c r="G339" s="9">
        <v>2017</v>
      </c>
      <c r="H339" s="10" t="str">
        <f>"203.20"</f>
        <v>203.20</v>
      </c>
      <c r="I339" s="10"/>
      <c r="J339" s="10"/>
      <c r="K339" s="10"/>
      <c r="L339" s="10"/>
      <c r="M339" s="10" t="str">
        <f>"189.24"</f>
        <v>189.24</v>
      </c>
      <c r="N339" s="10"/>
      <c r="O339" s="10" t="str">
        <f>"171.74"</f>
        <v>171.74</v>
      </c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 t="str">
        <f>"171.44"</f>
        <v>171.44</v>
      </c>
      <c r="AD339" s="10" t="str">
        <f>"219.95"</f>
        <v>219.95</v>
      </c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</row>
    <row r="340" spans="1:41">
      <c r="A340" s="8">
        <v>338</v>
      </c>
      <c r="B340" s="8">
        <v>6405</v>
      </c>
      <c r="C340" s="8" t="s">
        <v>506</v>
      </c>
      <c r="D340" s="8" t="s">
        <v>254</v>
      </c>
      <c r="E340" s="2" t="str">
        <f>"171.59"</f>
        <v>171.59</v>
      </c>
      <c r="F340" s="9"/>
      <c r="G340" s="9">
        <v>2017</v>
      </c>
      <c r="H340" s="10" t="str">
        <f>"219.30"</f>
        <v>219.30</v>
      </c>
      <c r="I340" s="10"/>
      <c r="J340" s="10"/>
      <c r="K340" s="10"/>
      <c r="L340" s="10"/>
      <c r="M340" s="10" t="str">
        <f>"187.83"</f>
        <v>187.83</v>
      </c>
      <c r="N340" s="10"/>
      <c r="O340" s="10" t="str">
        <f>"167.94"</f>
        <v>167.94</v>
      </c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 t="str">
        <f>"175.89"</f>
        <v>175.89</v>
      </c>
      <c r="AA340" s="10"/>
      <c r="AB340" s="10"/>
      <c r="AC340" s="10" t="str">
        <f>"175.24"</f>
        <v>175.24</v>
      </c>
      <c r="AD340" s="10" t="str">
        <f>"217.11"</f>
        <v>217.11</v>
      </c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</row>
    <row r="341" spans="1:41">
      <c r="A341" s="8">
        <v>339</v>
      </c>
      <c r="B341" s="8">
        <v>7942</v>
      </c>
      <c r="C341" s="8" t="s">
        <v>507</v>
      </c>
      <c r="D341" s="8" t="s">
        <v>42</v>
      </c>
      <c r="E341" s="2" t="str">
        <f>"171.92"</f>
        <v>171.92</v>
      </c>
      <c r="F341" s="9"/>
      <c r="G341" s="9">
        <v>2017</v>
      </c>
      <c r="H341" s="10" t="str">
        <f>"166.66"</f>
        <v>166.66</v>
      </c>
      <c r="I341" s="10"/>
      <c r="J341" s="10"/>
      <c r="K341" s="10"/>
      <c r="L341" s="10"/>
      <c r="M341" s="10"/>
      <c r="N341" s="10" t="str">
        <f>"156.94"</f>
        <v>156.94</v>
      </c>
      <c r="O341" s="10"/>
      <c r="P341" s="10" t="str">
        <f>"186.90"</f>
        <v>186.90</v>
      </c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</row>
    <row r="342" spans="1:41">
      <c r="A342" s="8">
        <v>340</v>
      </c>
      <c r="B342" s="8">
        <v>10861</v>
      </c>
      <c r="C342" s="8" t="s">
        <v>508</v>
      </c>
      <c r="D342" s="8" t="s">
        <v>10</v>
      </c>
      <c r="E342" s="2" t="str">
        <f>"172.01"</f>
        <v>172.01</v>
      </c>
      <c r="F342" s="9"/>
      <c r="G342" s="9">
        <v>2017</v>
      </c>
      <c r="H342" s="10" t="str">
        <f>"291.78"</f>
        <v>291.78</v>
      </c>
      <c r="I342" s="10" t="str">
        <f>"198.48"</f>
        <v>198.48</v>
      </c>
      <c r="J342" s="10"/>
      <c r="K342" s="10" t="str">
        <f>"202.74"</f>
        <v>202.74</v>
      </c>
      <c r="L342" s="10"/>
      <c r="M342" s="10"/>
      <c r="N342" s="10"/>
      <c r="O342" s="10"/>
      <c r="P342" s="10"/>
      <c r="Q342" s="10" t="str">
        <f>"210.27"</f>
        <v>210.27</v>
      </c>
      <c r="R342" s="10" t="str">
        <f>"227.39"</f>
        <v>227.39</v>
      </c>
      <c r="S342" s="10" t="str">
        <f>"271.11"</f>
        <v>271.11</v>
      </c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 t="str">
        <f>"174.85"</f>
        <v>174.85</v>
      </c>
      <c r="AF342" s="10" t="str">
        <f>"196.68"</f>
        <v>196.68</v>
      </c>
      <c r="AG342" s="10"/>
      <c r="AH342" s="10"/>
      <c r="AI342" s="10"/>
      <c r="AJ342" s="10"/>
      <c r="AK342" s="10"/>
      <c r="AL342" s="10" t="str">
        <f>"175.07"</f>
        <v>175.07</v>
      </c>
      <c r="AM342" s="10"/>
      <c r="AN342" s="10"/>
      <c r="AO342" s="10" t="str">
        <f>"169.17"</f>
        <v>169.17</v>
      </c>
    </row>
    <row r="343" spans="1:41">
      <c r="A343" s="8">
        <v>341</v>
      </c>
      <c r="B343" s="8">
        <v>5414</v>
      </c>
      <c r="C343" s="8" t="s">
        <v>509</v>
      </c>
      <c r="D343" s="8" t="s">
        <v>50</v>
      </c>
      <c r="E343" s="2" t="str">
        <f>"172.23"</f>
        <v>172.23</v>
      </c>
      <c r="F343" s="9" t="s">
        <v>11</v>
      </c>
      <c r="G343" s="9">
        <v>2017</v>
      </c>
      <c r="H343" s="10" t="str">
        <f>"132.23"</f>
        <v>132.23</v>
      </c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</row>
    <row r="344" spans="1:41">
      <c r="A344" s="8">
        <v>342</v>
      </c>
      <c r="B344" s="8">
        <v>10438</v>
      </c>
      <c r="C344" s="8" t="s">
        <v>510</v>
      </c>
      <c r="D344" s="8" t="s">
        <v>19</v>
      </c>
      <c r="E344" s="2" t="str">
        <f>"172.43"</f>
        <v>172.43</v>
      </c>
      <c r="F344" s="9"/>
      <c r="G344" s="9">
        <v>2017</v>
      </c>
      <c r="H344" s="10" t="str">
        <f>"493.79"</f>
        <v>493.79</v>
      </c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 t="str">
        <f>"338.33"</f>
        <v>338.33</v>
      </c>
      <c r="AC344" s="10" t="str">
        <f>"311.98"</f>
        <v>311.98</v>
      </c>
      <c r="AD344" s="10" t="str">
        <f>"276.05"</f>
        <v>276.05</v>
      </c>
      <c r="AE344" s="10"/>
      <c r="AF344" s="10"/>
      <c r="AG344" s="10"/>
      <c r="AH344" s="10"/>
      <c r="AI344" s="10"/>
      <c r="AJ344" s="10"/>
      <c r="AK344" s="10"/>
      <c r="AL344" s="10"/>
      <c r="AM344" s="10" t="str">
        <f>"290.66"</f>
        <v>290.66</v>
      </c>
      <c r="AN344" s="10" t="str">
        <f>"163.99"</f>
        <v>163.99</v>
      </c>
      <c r="AO344" s="10" t="str">
        <f>"180.87"</f>
        <v>180.87</v>
      </c>
    </row>
    <row r="345" spans="1:41">
      <c r="A345" s="8">
        <v>343</v>
      </c>
      <c r="B345" s="8">
        <v>3338</v>
      </c>
      <c r="C345" s="8" t="s">
        <v>511</v>
      </c>
      <c r="D345" s="8" t="s">
        <v>33</v>
      </c>
      <c r="E345" s="2" t="str">
        <f>"172.94"</f>
        <v>172.94</v>
      </c>
      <c r="F345" s="9"/>
      <c r="G345" s="9">
        <v>2017</v>
      </c>
      <c r="H345" s="10" t="str">
        <f>"162.85"</f>
        <v>162.85</v>
      </c>
      <c r="I345" s="10"/>
      <c r="J345" s="10" t="str">
        <f>"179.52"</f>
        <v>179.52</v>
      </c>
      <c r="K345" s="10"/>
      <c r="L345" s="10" t="str">
        <f>"234.08"</f>
        <v>234.08</v>
      </c>
      <c r="M345" s="10" t="str">
        <f>"191.12"</f>
        <v>191.12</v>
      </c>
      <c r="N345" s="10"/>
      <c r="O345" s="10" t="str">
        <f>"180.32"</f>
        <v>180.32</v>
      </c>
      <c r="P345" s="10"/>
      <c r="Q345" s="10"/>
      <c r="R345" s="10"/>
      <c r="S345" s="10" t="str">
        <f>"239.71"</f>
        <v>239.71</v>
      </c>
      <c r="T345" s="10"/>
      <c r="U345" s="10"/>
      <c r="V345" s="10"/>
      <c r="W345" s="10"/>
      <c r="X345" s="10"/>
      <c r="Y345" s="10"/>
      <c r="Z345" s="10" t="str">
        <f>"166.35"</f>
        <v>166.35</v>
      </c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</row>
    <row r="346" spans="1:41">
      <c r="A346" s="8">
        <v>344</v>
      </c>
      <c r="B346" s="8">
        <v>134</v>
      </c>
      <c r="C346" s="8" t="s">
        <v>512</v>
      </c>
      <c r="D346" s="8" t="s">
        <v>38</v>
      </c>
      <c r="E346" s="2" t="str">
        <f>"173.04"</f>
        <v>173.04</v>
      </c>
      <c r="F346" s="9" t="s">
        <v>11</v>
      </c>
      <c r="G346" s="9">
        <v>2017</v>
      </c>
      <c r="H346" s="10" t="str">
        <f>"133.04"</f>
        <v>133.04</v>
      </c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</row>
    <row r="347" spans="1:41">
      <c r="A347" s="8">
        <v>345</v>
      </c>
      <c r="B347" s="8">
        <v>10382</v>
      </c>
      <c r="C347" s="8" t="s">
        <v>513</v>
      </c>
      <c r="D347" s="8" t="s">
        <v>10</v>
      </c>
      <c r="E347" s="2" t="str">
        <f>"173.81"</f>
        <v>173.81</v>
      </c>
      <c r="F347" s="9"/>
      <c r="G347" s="9">
        <v>2017</v>
      </c>
      <c r="H347" s="10" t="str">
        <f>"199.20"</f>
        <v>199.20</v>
      </c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 t="str">
        <f>"182.07"</f>
        <v>182.07</v>
      </c>
      <c r="AG347" s="10"/>
      <c r="AH347" s="10"/>
      <c r="AI347" s="10" t="str">
        <f>"165.55"</f>
        <v>165.55</v>
      </c>
      <c r="AJ347" s="10"/>
      <c r="AK347" s="10"/>
      <c r="AL347" s="10"/>
      <c r="AM347" s="10"/>
      <c r="AN347" s="10"/>
      <c r="AO347" s="10"/>
    </row>
    <row r="348" spans="1:41">
      <c r="A348" s="8">
        <v>346</v>
      </c>
      <c r="B348" s="8">
        <v>3272</v>
      </c>
      <c r="C348" s="8" t="s">
        <v>514</v>
      </c>
      <c r="D348" s="8" t="s">
        <v>23</v>
      </c>
      <c r="E348" s="2" t="str">
        <f>"174.00"</f>
        <v>174.00</v>
      </c>
      <c r="F348" s="9"/>
      <c r="G348" s="9">
        <v>2017</v>
      </c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 t="str">
        <f>"140.80"</f>
        <v>140.80</v>
      </c>
      <c r="AH348" s="10" t="str">
        <f>"207.19"</f>
        <v>207.19</v>
      </c>
      <c r="AI348" s="10"/>
      <c r="AJ348" s="10"/>
      <c r="AK348" s="10"/>
      <c r="AL348" s="10"/>
      <c r="AM348" s="10"/>
      <c r="AN348" s="10"/>
      <c r="AO348" s="10"/>
    </row>
    <row r="349" spans="1:41">
      <c r="A349" s="8">
        <v>347</v>
      </c>
      <c r="B349" s="8">
        <v>2782</v>
      </c>
      <c r="C349" s="8" t="s">
        <v>515</v>
      </c>
      <c r="D349" s="8" t="s">
        <v>275</v>
      </c>
      <c r="E349" s="2" t="str">
        <f>"174.15"</f>
        <v>174.15</v>
      </c>
      <c r="F349" s="9"/>
      <c r="G349" s="9">
        <v>2017</v>
      </c>
      <c r="H349" s="10" t="str">
        <f>"138.91"</f>
        <v>138.91</v>
      </c>
      <c r="I349" s="10"/>
      <c r="J349" s="10" t="str">
        <f>"172.42"</f>
        <v>172.42</v>
      </c>
      <c r="K349" s="10"/>
      <c r="L349" s="10" t="str">
        <f>"210.50"</f>
        <v>210.50</v>
      </c>
      <c r="M349" s="10"/>
      <c r="N349" s="10" t="str">
        <f>"175.87"</f>
        <v>175.87</v>
      </c>
      <c r="O349" s="10"/>
      <c r="P349" s="10" t="str">
        <f>"198.77"</f>
        <v>198.77</v>
      </c>
      <c r="Q349" s="10"/>
      <c r="R349" s="10"/>
      <c r="S349" s="10"/>
      <c r="T349" s="10" t="str">
        <f>"175.95"</f>
        <v>175.95</v>
      </c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</row>
    <row r="350" spans="1:41">
      <c r="A350" s="8">
        <v>348</v>
      </c>
      <c r="B350" s="8">
        <v>3347</v>
      </c>
      <c r="C350" s="8" t="s">
        <v>516</v>
      </c>
      <c r="D350" s="8" t="s">
        <v>54</v>
      </c>
      <c r="E350" s="2" t="str">
        <f>"174.77"</f>
        <v>174.77</v>
      </c>
      <c r="F350" s="9"/>
      <c r="G350" s="9">
        <v>2017</v>
      </c>
      <c r="H350" s="10" t="str">
        <f>"194.43"</f>
        <v>194.43</v>
      </c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 t="str">
        <f>"175.44"</f>
        <v>175.44</v>
      </c>
      <c r="AD350" s="10" t="str">
        <f>"174.10"</f>
        <v>174.10</v>
      </c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</row>
    <row r="351" spans="1:41">
      <c r="A351" s="8">
        <v>349</v>
      </c>
      <c r="B351" s="8">
        <v>5911</v>
      </c>
      <c r="C351" s="8" t="s">
        <v>517</v>
      </c>
      <c r="D351" s="8" t="s">
        <v>14</v>
      </c>
      <c r="E351" s="2" t="str">
        <f>"174.89"</f>
        <v>174.89</v>
      </c>
      <c r="F351" s="9"/>
      <c r="G351" s="9">
        <v>2017</v>
      </c>
      <c r="H351" s="10" t="str">
        <f>"200.92"</f>
        <v>200.92</v>
      </c>
      <c r="I351" s="10"/>
      <c r="J351" s="10"/>
      <c r="K351" s="10"/>
      <c r="L351" s="10"/>
      <c r="M351" s="10" t="str">
        <f>"188.77"</f>
        <v>188.77</v>
      </c>
      <c r="N351" s="10"/>
      <c r="O351" s="10" t="str">
        <f>"161.01"</f>
        <v>161.01</v>
      </c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</row>
    <row r="352" spans="1:41">
      <c r="A352" s="8">
        <v>350</v>
      </c>
      <c r="B352" s="8">
        <v>5122</v>
      </c>
      <c r="C352" s="8" t="s">
        <v>518</v>
      </c>
      <c r="D352" s="8" t="s">
        <v>37</v>
      </c>
      <c r="E352" s="2" t="str">
        <f>"174.90"</f>
        <v>174.90</v>
      </c>
      <c r="F352" s="9"/>
      <c r="G352" s="9">
        <v>2017</v>
      </c>
      <c r="H352" s="10" t="str">
        <f>"167.19"</f>
        <v>167.19</v>
      </c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 t="str">
        <f>"232.28"</f>
        <v>232.28</v>
      </c>
      <c r="T352" s="10"/>
      <c r="U352" s="10"/>
      <c r="V352" s="10"/>
      <c r="W352" s="10"/>
      <c r="X352" s="10"/>
      <c r="Y352" s="10"/>
      <c r="Z352" s="10" t="str">
        <f>"180.74"</f>
        <v>180.74</v>
      </c>
      <c r="AA352" s="10"/>
      <c r="AB352" s="10"/>
      <c r="AC352" s="10"/>
      <c r="AD352" s="10"/>
      <c r="AE352" s="10"/>
      <c r="AF352" s="10"/>
      <c r="AG352" s="10"/>
      <c r="AH352" s="10"/>
      <c r="AI352" s="10" t="str">
        <f>"207.34"</f>
        <v>207.34</v>
      </c>
      <c r="AJ352" s="10" t="str">
        <f>"169.06"</f>
        <v>169.06</v>
      </c>
      <c r="AK352" s="10"/>
      <c r="AL352" s="10"/>
      <c r="AM352" s="10"/>
      <c r="AN352" s="10"/>
      <c r="AO352" s="10"/>
    </row>
    <row r="353" spans="1:41">
      <c r="A353" s="8">
        <v>351</v>
      </c>
      <c r="B353" s="8">
        <v>11362</v>
      </c>
      <c r="C353" s="8" t="s">
        <v>519</v>
      </c>
      <c r="D353" s="8" t="s">
        <v>80</v>
      </c>
      <c r="E353" s="2" t="str">
        <f>"175.67"</f>
        <v>175.67</v>
      </c>
      <c r="F353" s="9" t="s">
        <v>9</v>
      </c>
      <c r="G353" s="9">
        <v>2017</v>
      </c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 t="str">
        <f>"135.67"</f>
        <v>135.67</v>
      </c>
      <c r="AJ353" s="10"/>
      <c r="AK353" s="10"/>
      <c r="AL353" s="10"/>
      <c r="AM353" s="10"/>
      <c r="AN353" s="10"/>
      <c r="AO353" s="10"/>
    </row>
    <row r="354" spans="1:41">
      <c r="A354" s="8">
        <v>352</v>
      </c>
      <c r="B354" s="8">
        <v>5261</v>
      </c>
      <c r="C354" s="8" t="s">
        <v>520</v>
      </c>
      <c r="D354" s="8" t="s">
        <v>52</v>
      </c>
      <c r="E354" s="2" t="str">
        <f>"176.11"</f>
        <v>176.11</v>
      </c>
      <c r="F354" s="9"/>
      <c r="G354" s="9">
        <v>2017</v>
      </c>
      <c r="H354" s="10" t="str">
        <f>"218.51"</f>
        <v>218.51</v>
      </c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 t="str">
        <f>"182.04"</f>
        <v>182.04</v>
      </c>
      <c r="AD354" s="10" t="str">
        <f>"170.17"</f>
        <v>170.17</v>
      </c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</row>
    <row r="355" spans="1:41">
      <c r="A355" s="8">
        <v>353</v>
      </c>
      <c r="B355" s="8">
        <v>311</v>
      </c>
      <c r="C355" s="8" t="s">
        <v>521</v>
      </c>
      <c r="D355" s="8" t="s">
        <v>75</v>
      </c>
      <c r="E355" s="2" t="str">
        <f>"176.34"</f>
        <v>176.34</v>
      </c>
      <c r="F355" s="9"/>
      <c r="G355" s="9">
        <v>2017</v>
      </c>
      <c r="H355" s="10" t="str">
        <f>"147.45"</f>
        <v>147.45</v>
      </c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 t="str">
        <f>"221.20"</f>
        <v>221.20</v>
      </c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 t="str">
        <f>"149.98"</f>
        <v>149.98</v>
      </c>
      <c r="AH355" s="10" t="str">
        <f>"202.69"</f>
        <v>202.69</v>
      </c>
      <c r="AI355" s="10"/>
      <c r="AJ355" s="10"/>
      <c r="AK355" s="10"/>
      <c r="AL355" s="10"/>
      <c r="AM355" s="10"/>
      <c r="AN355" s="10"/>
      <c r="AO355" s="10"/>
    </row>
    <row r="356" spans="1:41">
      <c r="A356" s="8">
        <v>354</v>
      </c>
      <c r="B356" s="8">
        <v>3008</v>
      </c>
      <c r="C356" s="8" t="s">
        <v>522</v>
      </c>
      <c r="D356" s="8" t="s">
        <v>180</v>
      </c>
      <c r="E356" s="2" t="str">
        <f>"176.46"</f>
        <v>176.46</v>
      </c>
      <c r="F356" s="9" t="s">
        <v>11</v>
      </c>
      <c r="G356" s="9">
        <v>2017</v>
      </c>
      <c r="H356" s="10" t="str">
        <f>"136.46"</f>
        <v>136.46</v>
      </c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</row>
    <row r="357" spans="1:41">
      <c r="A357" s="8">
        <v>355</v>
      </c>
      <c r="B357" s="8">
        <v>4037</v>
      </c>
      <c r="C357" s="8" t="s">
        <v>523</v>
      </c>
      <c r="D357" s="8" t="s">
        <v>524</v>
      </c>
      <c r="E357" s="2" t="str">
        <f>"176.60"</f>
        <v>176.60</v>
      </c>
      <c r="F357" s="9"/>
      <c r="G357" s="9">
        <v>2017</v>
      </c>
      <c r="H357" s="10" t="str">
        <f>"238.37"</f>
        <v>238.37</v>
      </c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 t="str">
        <f>"182.44"</f>
        <v>182.44</v>
      </c>
      <c r="AD357" s="10"/>
      <c r="AE357" s="10"/>
      <c r="AF357" s="10"/>
      <c r="AG357" s="10"/>
      <c r="AH357" s="10"/>
      <c r="AI357" s="10" t="str">
        <f>"170.75"</f>
        <v>170.75</v>
      </c>
      <c r="AJ357" s="10"/>
      <c r="AK357" s="10"/>
      <c r="AL357" s="10"/>
      <c r="AM357" s="10"/>
      <c r="AN357" s="10"/>
      <c r="AO357" s="10"/>
    </row>
    <row r="358" spans="1:41">
      <c r="A358" s="8">
        <v>356</v>
      </c>
      <c r="B358" s="8">
        <v>3179</v>
      </c>
      <c r="C358" s="8" t="s">
        <v>525</v>
      </c>
      <c r="D358" s="8" t="s">
        <v>28</v>
      </c>
      <c r="E358" s="2" t="str">
        <f>"176.81"</f>
        <v>176.81</v>
      </c>
      <c r="F358" s="9" t="s">
        <v>11</v>
      </c>
      <c r="G358" s="9">
        <v>2017</v>
      </c>
      <c r="H358" s="10" t="str">
        <f>"136.81"</f>
        <v>136.81</v>
      </c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</row>
    <row r="359" spans="1:41">
      <c r="A359" s="8">
        <v>357</v>
      </c>
      <c r="B359" s="8">
        <v>10136</v>
      </c>
      <c r="C359" s="8" t="s">
        <v>526</v>
      </c>
      <c r="D359" s="8" t="s">
        <v>10</v>
      </c>
      <c r="E359" s="2" t="str">
        <f>"177.39"</f>
        <v>177.39</v>
      </c>
      <c r="F359" s="9"/>
      <c r="G359" s="9">
        <v>2017</v>
      </c>
      <c r="H359" s="10" t="str">
        <f>"236.45"</f>
        <v>236.45</v>
      </c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 t="str">
        <f>"238.45"</f>
        <v>238.45</v>
      </c>
      <c r="AF359" s="10" t="str">
        <f>"276.19"</f>
        <v>276.19</v>
      </c>
      <c r="AG359" s="10"/>
      <c r="AH359" s="10"/>
      <c r="AI359" s="10"/>
      <c r="AJ359" s="10"/>
      <c r="AK359" s="10"/>
      <c r="AL359" s="10"/>
      <c r="AM359" s="10"/>
      <c r="AN359" s="10" t="str">
        <f>"176.17"</f>
        <v>176.17</v>
      </c>
      <c r="AO359" s="10" t="str">
        <f>"178.61"</f>
        <v>178.61</v>
      </c>
    </row>
    <row r="360" spans="1:41">
      <c r="A360" s="8">
        <v>358</v>
      </c>
      <c r="B360" s="8">
        <v>7566</v>
      </c>
      <c r="C360" s="8" t="s">
        <v>527</v>
      </c>
      <c r="D360" s="8" t="s">
        <v>21</v>
      </c>
      <c r="E360" s="2" t="str">
        <f>"177.90"</f>
        <v>177.90</v>
      </c>
      <c r="F360" s="9"/>
      <c r="G360" s="9">
        <v>2017</v>
      </c>
      <c r="H360" s="10" t="str">
        <f>"188.22"</f>
        <v>188.22</v>
      </c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 t="str">
        <f>"169.95"</f>
        <v>169.95</v>
      </c>
      <c r="AA360" s="10"/>
      <c r="AB360" s="10"/>
      <c r="AC360" s="10"/>
      <c r="AD360" s="10"/>
      <c r="AE360" s="10"/>
      <c r="AF360" s="10"/>
      <c r="AG360" s="10"/>
      <c r="AH360" s="10"/>
      <c r="AI360" s="10" t="str">
        <f>"185.85"</f>
        <v>185.85</v>
      </c>
      <c r="AJ360" s="10"/>
      <c r="AK360" s="10"/>
      <c r="AL360" s="10"/>
      <c r="AM360" s="10"/>
      <c r="AN360" s="10"/>
      <c r="AO360" s="10"/>
    </row>
    <row r="361" spans="1:41">
      <c r="A361" s="8">
        <v>359</v>
      </c>
      <c r="B361" s="8">
        <v>6871</v>
      </c>
      <c r="C361" s="8" t="s">
        <v>528</v>
      </c>
      <c r="D361" s="8" t="s">
        <v>75</v>
      </c>
      <c r="E361" s="2" t="str">
        <f>"178.21"</f>
        <v>178.21</v>
      </c>
      <c r="F361" s="9" t="s">
        <v>11</v>
      </c>
      <c r="G361" s="9">
        <v>2017</v>
      </c>
      <c r="H361" s="10" t="str">
        <f>"138.21"</f>
        <v>138.21</v>
      </c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</row>
    <row r="362" spans="1:41">
      <c r="A362" s="8">
        <v>360</v>
      </c>
      <c r="B362" s="8">
        <v>11289</v>
      </c>
      <c r="C362" s="8" t="s">
        <v>529</v>
      </c>
      <c r="D362" s="8" t="s">
        <v>10</v>
      </c>
      <c r="E362" s="2" t="str">
        <f>"178.69"</f>
        <v>178.69</v>
      </c>
      <c r="F362" s="9"/>
      <c r="G362" s="9">
        <v>2017</v>
      </c>
      <c r="H362" s="10"/>
      <c r="I362" s="10"/>
      <c r="J362" s="10"/>
      <c r="K362" s="10"/>
      <c r="L362" s="10"/>
      <c r="M362" s="10"/>
      <c r="N362" s="10"/>
      <c r="O362" s="10"/>
      <c r="P362" s="10"/>
      <c r="Q362" s="10" t="str">
        <f>"344.99"</f>
        <v>344.99</v>
      </c>
      <c r="R362" s="10" t="str">
        <f>"371.51"</f>
        <v>371.51</v>
      </c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 t="str">
        <f>"251.23"</f>
        <v>251.23</v>
      </c>
      <c r="AF362" s="10" t="str">
        <f>"264.23"</f>
        <v>264.23</v>
      </c>
      <c r="AG362" s="10"/>
      <c r="AH362" s="10"/>
      <c r="AI362" s="10"/>
      <c r="AJ362" s="10"/>
      <c r="AK362" s="10"/>
      <c r="AL362" s="10"/>
      <c r="AM362" s="10"/>
      <c r="AN362" s="10" t="str">
        <f>"188.87"</f>
        <v>188.87</v>
      </c>
      <c r="AO362" s="10" t="str">
        <f>"168.51"</f>
        <v>168.51</v>
      </c>
    </row>
    <row r="363" spans="1:41">
      <c r="A363" s="8">
        <v>361</v>
      </c>
      <c r="B363" s="8">
        <v>7606</v>
      </c>
      <c r="C363" s="8" t="s">
        <v>530</v>
      </c>
      <c r="D363" s="8" t="s">
        <v>70</v>
      </c>
      <c r="E363" s="2" t="str">
        <f>"178.73"</f>
        <v>178.73</v>
      </c>
      <c r="F363" s="9"/>
      <c r="G363" s="9">
        <v>2017</v>
      </c>
      <c r="H363" s="10" t="str">
        <f>"172.70"</f>
        <v>172.70</v>
      </c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 t="str">
        <f>"162.53"</f>
        <v>162.53</v>
      </c>
      <c r="AE363" s="10"/>
      <c r="AF363" s="10"/>
      <c r="AG363" s="10"/>
      <c r="AH363" s="10"/>
      <c r="AI363" s="10" t="str">
        <f>"194.92"</f>
        <v>194.92</v>
      </c>
      <c r="AJ363" s="10"/>
      <c r="AK363" s="10"/>
      <c r="AL363" s="10"/>
      <c r="AM363" s="10"/>
      <c r="AN363" s="10"/>
      <c r="AO363" s="10"/>
    </row>
    <row r="364" spans="1:41">
      <c r="A364" s="8">
        <v>362</v>
      </c>
      <c r="B364" s="8">
        <v>10686</v>
      </c>
      <c r="C364" s="8" t="s">
        <v>531</v>
      </c>
      <c r="D364" s="8" t="s">
        <v>19</v>
      </c>
      <c r="E364" s="2" t="str">
        <f>"178.90"</f>
        <v>178.90</v>
      </c>
      <c r="F364" s="9"/>
      <c r="G364" s="9">
        <v>2017</v>
      </c>
      <c r="H364" s="10" t="str">
        <f>"229.41"</f>
        <v>229.41</v>
      </c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 t="str">
        <f>"164.67"</f>
        <v>164.67</v>
      </c>
      <c r="W364" s="10"/>
      <c r="X364" s="10"/>
      <c r="Y364" s="10" t="str">
        <f>"193.12"</f>
        <v>193.12</v>
      </c>
      <c r="Z364" s="10"/>
      <c r="AA364" s="10"/>
      <c r="AB364" s="10" t="str">
        <f>"200.21"</f>
        <v>200.21</v>
      </c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</row>
    <row r="365" spans="1:41">
      <c r="A365" s="8">
        <v>363</v>
      </c>
      <c r="B365" s="8">
        <v>1911</v>
      </c>
      <c r="C365" s="8" t="s">
        <v>532</v>
      </c>
      <c r="D365" s="8" t="s">
        <v>533</v>
      </c>
      <c r="E365" s="2" t="str">
        <f>"179.03"</f>
        <v>179.03</v>
      </c>
      <c r="F365" s="9"/>
      <c r="G365" s="9">
        <v>2017</v>
      </c>
      <c r="H365" s="10" t="str">
        <f>"181.93"</f>
        <v>181.93</v>
      </c>
      <c r="I365" s="10"/>
      <c r="J365" s="10"/>
      <c r="K365" s="10"/>
      <c r="L365" s="10"/>
      <c r="M365" s="10"/>
      <c r="N365" s="10" t="str">
        <f>"165.59"</f>
        <v>165.59</v>
      </c>
      <c r="O365" s="10"/>
      <c r="P365" s="10" t="str">
        <f>"192.46"</f>
        <v>192.46</v>
      </c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 t="str">
        <f>"222.07"</f>
        <v>222.07</v>
      </c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</row>
    <row r="366" spans="1:41">
      <c r="A366" s="8">
        <v>364</v>
      </c>
      <c r="B366" s="8">
        <v>5653</v>
      </c>
      <c r="C366" s="8" t="s">
        <v>534</v>
      </c>
      <c r="D366" s="8" t="s">
        <v>75</v>
      </c>
      <c r="E366" s="2" t="str">
        <f>"179.30"</f>
        <v>179.30</v>
      </c>
      <c r="F366" s="9"/>
      <c r="G366" s="9">
        <v>2017</v>
      </c>
      <c r="H366" s="10" t="str">
        <f>"199.37"</f>
        <v>199.37</v>
      </c>
      <c r="I366" s="10"/>
      <c r="J366" s="10"/>
      <c r="K366" s="10"/>
      <c r="L366" s="10"/>
      <c r="M366" s="10" t="str">
        <f>"174.81"</f>
        <v>174.81</v>
      </c>
      <c r="N366" s="10"/>
      <c r="O366" s="10" t="str">
        <f>"183.79"</f>
        <v>183.79</v>
      </c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 t="str">
        <f>"220.02"</f>
        <v>220.02</v>
      </c>
      <c r="AD366" s="10" t="str">
        <f>"223.66"</f>
        <v>223.66</v>
      </c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</row>
    <row r="367" spans="1:41">
      <c r="A367" s="8">
        <v>365</v>
      </c>
      <c r="B367" s="8">
        <v>4546</v>
      </c>
      <c r="C367" s="8" t="s">
        <v>535</v>
      </c>
      <c r="D367" s="8" t="s">
        <v>21</v>
      </c>
      <c r="E367" s="2" t="str">
        <f>"179.60"</f>
        <v>179.60</v>
      </c>
      <c r="F367" s="9"/>
      <c r="G367" s="9">
        <v>2017</v>
      </c>
      <c r="H367" s="10" t="str">
        <f>"226.27"</f>
        <v>226.27</v>
      </c>
      <c r="I367" s="10"/>
      <c r="J367" s="10"/>
      <c r="K367" s="10"/>
      <c r="L367" s="10"/>
      <c r="M367" s="10"/>
      <c r="N367" s="10"/>
      <c r="O367" s="10" t="str">
        <f>"201.12"</f>
        <v>201.12</v>
      </c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 t="str">
        <f>"183.44"</f>
        <v>183.44</v>
      </c>
      <c r="AD367" s="10" t="str">
        <f>"186.33"</f>
        <v>186.33</v>
      </c>
      <c r="AE367" s="10"/>
      <c r="AF367" s="10"/>
      <c r="AG367" s="10" t="str">
        <f>"175.75"</f>
        <v>175.75</v>
      </c>
      <c r="AH367" s="10" t="str">
        <f>"272.88"</f>
        <v>272.88</v>
      </c>
      <c r="AI367" s="10"/>
      <c r="AJ367" s="10"/>
      <c r="AK367" s="10"/>
      <c r="AL367" s="10"/>
      <c r="AM367" s="10"/>
      <c r="AN367" s="10"/>
      <c r="AO367" s="10"/>
    </row>
    <row r="368" spans="1:41">
      <c r="A368" s="8">
        <v>366</v>
      </c>
      <c r="B368" s="8">
        <v>3678</v>
      </c>
      <c r="C368" s="8" t="s">
        <v>536</v>
      </c>
      <c r="D368" s="8" t="s">
        <v>84</v>
      </c>
      <c r="E368" s="2" t="str">
        <f>"179.70"</f>
        <v>179.70</v>
      </c>
      <c r="F368" s="9"/>
      <c r="G368" s="9">
        <v>2017</v>
      </c>
      <c r="H368" s="10" t="str">
        <f>"164.40"</f>
        <v>164.40</v>
      </c>
      <c r="I368" s="10"/>
      <c r="J368" s="10"/>
      <c r="K368" s="10"/>
      <c r="L368" s="10"/>
      <c r="M368" s="10"/>
      <c r="N368" s="10" t="str">
        <f>"180.40"</f>
        <v>180.40</v>
      </c>
      <c r="O368" s="10"/>
      <c r="P368" s="10"/>
      <c r="Q368" s="10"/>
      <c r="R368" s="10"/>
      <c r="S368" s="10"/>
      <c r="T368" s="10" t="str">
        <f>"187.34"</f>
        <v>187.34</v>
      </c>
      <c r="U368" s="10"/>
      <c r="V368" s="10"/>
      <c r="W368" s="10"/>
      <c r="X368" s="10"/>
      <c r="Y368" s="10"/>
      <c r="Z368" s="10"/>
      <c r="AA368" s="10" t="str">
        <f>"178.99"</f>
        <v>178.99</v>
      </c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</row>
    <row r="369" spans="1:41">
      <c r="A369" s="8">
        <v>367</v>
      </c>
      <c r="B369" s="8">
        <v>7585</v>
      </c>
      <c r="C369" s="8" t="s">
        <v>777</v>
      </c>
      <c r="D369" s="8" t="s">
        <v>778</v>
      </c>
      <c r="E369" s="2">
        <v>180.05</v>
      </c>
      <c r="F369" s="9" t="s">
        <v>1491</v>
      </c>
      <c r="G369" s="9">
        <v>2017</v>
      </c>
      <c r="H369" s="10" t="str">
        <f>"160.05"</f>
        <v>160.05</v>
      </c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 t="str">
        <f>"203.38"</f>
        <v>203.38</v>
      </c>
      <c r="AM369" s="10"/>
      <c r="AN369" s="10"/>
      <c r="AO369" s="10"/>
    </row>
    <row r="370" spans="1:41">
      <c r="A370" s="8">
        <v>368</v>
      </c>
      <c r="B370" s="8">
        <v>2017</v>
      </c>
      <c r="C370" s="8" t="s">
        <v>537</v>
      </c>
      <c r="D370" s="8" t="s">
        <v>533</v>
      </c>
      <c r="E370" s="2" t="str">
        <f>"180.25"</f>
        <v>180.25</v>
      </c>
      <c r="F370" s="9" t="s">
        <v>11</v>
      </c>
      <c r="G370" s="9">
        <v>2017</v>
      </c>
      <c r="H370" s="10" t="str">
        <f>"140.25"</f>
        <v>140.25</v>
      </c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</row>
    <row r="371" spans="1:41">
      <c r="A371" s="8">
        <v>369</v>
      </c>
      <c r="B371" s="8">
        <v>10285</v>
      </c>
      <c r="C371" s="8" t="s">
        <v>538</v>
      </c>
      <c r="D371" s="8" t="s">
        <v>10</v>
      </c>
      <c r="E371" s="2" t="str">
        <f>"180.50"</f>
        <v>180.50</v>
      </c>
      <c r="F371" s="9"/>
      <c r="G371" s="9">
        <v>2017</v>
      </c>
      <c r="H371" s="10" t="str">
        <f>"265.87"</f>
        <v>265.87</v>
      </c>
      <c r="I371" s="10" t="str">
        <f>"180.71"</f>
        <v>180.71</v>
      </c>
      <c r="J371" s="10"/>
      <c r="K371" s="10" t="str">
        <f>"180.28"</f>
        <v>180.28</v>
      </c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 t="str">
        <f>"231.58"</f>
        <v>231.58</v>
      </c>
      <c r="AC371" s="10" t="str">
        <f>"212.62"</f>
        <v>212.62</v>
      </c>
      <c r="AD371" s="10" t="str">
        <f>"200.30"</f>
        <v>200.30</v>
      </c>
      <c r="AE371" s="10"/>
      <c r="AF371" s="10"/>
      <c r="AG371" s="10"/>
      <c r="AH371" s="10"/>
      <c r="AI371" s="10" t="str">
        <f>"211.70"</f>
        <v>211.70</v>
      </c>
      <c r="AJ371" s="10"/>
      <c r="AK371" s="10"/>
      <c r="AL371" s="10"/>
      <c r="AM371" s="10" t="str">
        <f>"237.59"</f>
        <v>237.59</v>
      </c>
      <c r="AN371" s="10"/>
      <c r="AO371" s="10" t="str">
        <f>"182.73"</f>
        <v>182.73</v>
      </c>
    </row>
    <row r="372" spans="1:41">
      <c r="A372" s="8">
        <v>370</v>
      </c>
      <c r="B372" s="8">
        <v>5262</v>
      </c>
      <c r="C372" s="8" t="s">
        <v>539</v>
      </c>
      <c r="D372" s="8" t="s">
        <v>17</v>
      </c>
      <c r="E372" s="2" t="str">
        <f>"180.65"</f>
        <v>180.65</v>
      </c>
      <c r="F372" s="9" t="s">
        <v>11</v>
      </c>
      <c r="G372" s="9">
        <v>2017</v>
      </c>
      <c r="H372" s="10" t="str">
        <f>"140.65"</f>
        <v>140.65</v>
      </c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</row>
    <row r="373" spans="1:41">
      <c r="A373" s="8">
        <v>371</v>
      </c>
      <c r="B373" s="8">
        <v>9650</v>
      </c>
      <c r="C373" s="8" t="s">
        <v>540</v>
      </c>
      <c r="D373" s="8" t="s">
        <v>75</v>
      </c>
      <c r="E373" s="2" t="str">
        <f>"180.93"</f>
        <v>180.93</v>
      </c>
      <c r="F373" s="9"/>
      <c r="G373" s="9">
        <v>2017</v>
      </c>
      <c r="H373" s="10" t="str">
        <f>"192.60"</f>
        <v>192.60</v>
      </c>
      <c r="I373" s="10"/>
      <c r="J373" s="10"/>
      <c r="K373" s="10"/>
      <c r="L373" s="10"/>
      <c r="M373" s="10" t="str">
        <f>"185.00"</f>
        <v>185.00</v>
      </c>
      <c r="N373" s="10"/>
      <c r="O373" s="10" t="str">
        <f>"176.86"</f>
        <v>176.86</v>
      </c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 t="str">
        <f>"203.11"</f>
        <v>203.11</v>
      </c>
      <c r="AA373" s="10"/>
      <c r="AB373" s="10"/>
      <c r="AC373" s="10"/>
      <c r="AD373" s="10"/>
      <c r="AE373" s="10"/>
      <c r="AF373" s="10"/>
      <c r="AG373" s="10"/>
      <c r="AH373" s="10"/>
      <c r="AI373" s="10" t="str">
        <f>"207.34"</f>
        <v>207.34</v>
      </c>
      <c r="AJ373" s="10"/>
      <c r="AK373" s="10"/>
      <c r="AL373" s="10"/>
      <c r="AM373" s="10"/>
      <c r="AN373" s="10"/>
      <c r="AO373" s="10"/>
    </row>
    <row r="374" spans="1:41">
      <c r="A374" s="8">
        <v>372</v>
      </c>
      <c r="B374" s="8">
        <v>3627</v>
      </c>
      <c r="C374" s="8" t="s">
        <v>541</v>
      </c>
      <c r="D374" s="8" t="s">
        <v>8</v>
      </c>
      <c r="E374" s="2" t="str">
        <f>"181.73"</f>
        <v>181.73</v>
      </c>
      <c r="F374" s="9" t="s">
        <v>11</v>
      </c>
      <c r="G374" s="9">
        <v>2017</v>
      </c>
      <c r="H374" s="10" t="str">
        <f>"141.73"</f>
        <v>141.73</v>
      </c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</row>
    <row r="375" spans="1:41">
      <c r="A375" s="8">
        <v>373</v>
      </c>
      <c r="B375" s="8">
        <v>1359</v>
      </c>
      <c r="C375" s="8" t="s">
        <v>542</v>
      </c>
      <c r="D375" s="8" t="s">
        <v>396</v>
      </c>
      <c r="E375" s="2" t="str">
        <f>"181.89"</f>
        <v>181.89</v>
      </c>
      <c r="F375" s="9"/>
      <c r="G375" s="9">
        <v>2017</v>
      </c>
      <c r="H375" s="10" t="str">
        <f>"188.69"</f>
        <v>188.69</v>
      </c>
      <c r="I375" s="10"/>
      <c r="J375" s="10" t="str">
        <f>"203.93"</f>
        <v>203.93</v>
      </c>
      <c r="K375" s="10"/>
      <c r="L375" s="10"/>
      <c r="M375" s="10"/>
      <c r="N375" s="10"/>
      <c r="O375" s="10"/>
      <c r="P375" s="10"/>
      <c r="Q375" s="10"/>
      <c r="R375" s="10"/>
      <c r="S375" s="10" t="str">
        <f>"283.72"</f>
        <v>283.72</v>
      </c>
      <c r="T375" s="10"/>
      <c r="U375" s="10"/>
      <c r="V375" s="10"/>
      <c r="W375" s="10"/>
      <c r="X375" s="10"/>
      <c r="Y375" s="10"/>
      <c r="Z375" s="10" t="str">
        <f>"240.97"</f>
        <v>240.97</v>
      </c>
      <c r="AA375" s="10"/>
      <c r="AB375" s="10"/>
      <c r="AC375" s="10" t="str">
        <f>"221.82"</f>
        <v>221.82</v>
      </c>
      <c r="AD375" s="10" t="str">
        <f>"223.66"</f>
        <v>223.66</v>
      </c>
      <c r="AE375" s="10"/>
      <c r="AF375" s="10"/>
      <c r="AG375" s="10" t="str">
        <f>"159.84"</f>
        <v>159.84</v>
      </c>
      <c r="AH375" s="10" t="str">
        <f>"293.31"</f>
        <v>293.31</v>
      </c>
      <c r="AI375" s="10" t="str">
        <f>"243.59"</f>
        <v>243.59</v>
      </c>
      <c r="AJ375" s="10"/>
      <c r="AK375" s="10"/>
      <c r="AL375" s="10"/>
      <c r="AM375" s="10"/>
      <c r="AN375" s="10"/>
      <c r="AO375" s="10"/>
    </row>
    <row r="376" spans="1:41">
      <c r="A376" s="8">
        <v>374</v>
      </c>
      <c r="B376" s="8">
        <v>8372</v>
      </c>
      <c r="C376" s="8" t="s">
        <v>543</v>
      </c>
      <c r="D376" s="8" t="s">
        <v>331</v>
      </c>
      <c r="E376" s="2" t="str">
        <f>"182.41"</f>
        <v>182.41</v>
      </c>
      <c r="F376" s="9" t="s">
        <v>11</v>
      </c>
      <c r="G376" s="9">
        <v>2017</v>
      </c>
      <c r="H376" s="10" t="str">
        <f>"142.41"</f>
        <v>142.41</v>
      </c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</row>
    <row r="377" spans="1:41">
      <c r="A377" s="8">
        <v>375</v>
      </c>
      <c r="B377" s="8">
        <v>10695</v>
      </c>
      <c r="C377" s="8" t="s">
        <v>544</v>
      </c>
      <c r="D377" s="8" t="s">
        <v>45</v>
      </c>
      <c r="E377" s="2" t="str">
        <f>"182.47"</f>
        <v>182.47</v>
      </c>
      <c r="F377" s="9" t="s">
        <v>11</v>
      </c>
      <c r="G377" s="9">
        <v>2017</v>
      </c>
      <c r="H377" s="10" t="str">
        <f>"142.47"</f>
        <v>142.47</v>
      </c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</row>
    <row r="378" spans="1:41">
      <c r="A378" s="8">
        <v>376</v>
      </c>
      <c r="B378" s="8">
        <v>10187</v>
      </c>
      <c r="C378" s="8" t="s">
        <v>545</v>
      </c>
      <c r="D378" s="8" t="s">
        <v>10</v>
      </c>
      <c r="E378" s="2" t="str">
        <f>"182.84"</f>
        <v>182.84</v>
      </c>
      <c r="F378" s="9"/>
      <c r="G378" s="9">
        <v>2017</v>
      </c>
      <c r="H378" s="10" t="str">
        <f>"228.22"</f>
        <v>228.22</v>
      </c>
      <c r="I378" s="10"/>
      <c r="J378" s="10"/>
      <c r="K378" s="10"/>
      <c r="L378" s="10"/>
      <c r="M378" s="10"/>
      <c r="N378" s="10"/>
      <c r="O378" s="10"/>
      <c r="P378" s="10"/>
      <c r="Q378" s="10" t="str">
        <f>"219.14"</f>
        <v>219.14</v>
      </c>
      <c r="R378" s="10" t="str">
        <f>"233.84"</f>
        <v>233.84</v>
      </c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 t="str">
        <f>"205.18"</f>
        <v>205.18</v>
      </c>
      <c r="AF378" s="10" t="str">
        <f>"187.01"</f>
        <v>187.01</v>
      </c>
      <c r="AG378" s="10"/>
      <c r="AH378" s="10"/>
      <c r="AI378" s="10"/>
      <c r="AJ378" s="10"/>
      <c r="AK378" s="10"/>
      <c r="AL378" s="10"/>
      <c r="AM378" s="10"/>
      <c r="AN378" s="10" t="str">
        <f>"178.95"</f>
        <v>178.95</v>
      </c>
      <c r="AO378" s="10" t="str">
        <f>"186.72"</f>
        <v>186.72</v>
      </c>
    </row>
    <row r="379" spans="1:41">
      <c r="A379" s="8">
        <v>377</v>
      </c>
      <c r="B379" s="8">
        <v>10673</v>
      </c>
      <c r="C379" s="8" t="s">
        <v>546</v>
      </c>
      <c r="D379" s="8" t="s">
        <v>8</v>
      </c>
      <c r="E379" s="2" t="str">
        <f>"183.17"</f>
        <v>183.17</v>
      </c>
      <c r="F379" s="9" t="s">
        <v>11</v>
      </c>
      <c r="G379" s="9">
        <v>2017</v>
      </c>
      <c r="H379" s="10" t="str">
        <f>"143.17"</f>
        <v>143.17</v>
      </c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</row>
    <row r="380" spans="1:41">
      <c r="A380" s="8">
        <v>378</v>
      </c>
      <c r="B380" s="8">
        <v>10467</v>
      </c>
      <c r="C380" s="8" t="s">
        <v>547</v>
      </c>
      <c r="D380" s="8" t="s">
        <v>19</v>
      </c>
      <c r="E380" s="2" t="str">
        <f>"183.96"</f>
        <v>183.96</v>
      </c>
      <c r="F380" s="9"/>
      <c r="G380" s="9">
        <v>2017</v>
      </c>
      <c r="H380" s="10" t="str">
        <f>"483.28"</f>
        <v>483.28</v>
      </c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 t="str">
        <f>"307.32"</f>
        <v>307.32</v>
      </c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 t="str">
        <f>"181.20"</f>
        <v>181.20</v>
      </c>
      <c r="AO380" s="10" t="str">
        <f>"186.72"</f>
        <v>186.72</v>
      </c>
    </row>
    <row r="381" spans="1:41">
      <c r="A381" s="8">
        <v>379</v>
      </c>
      <c r="B381" s="8">
        <v>742</v>
      </c>
      <c r="C381" s="8" t="s">
        <v>548</v>
      </c>
      <c r="D381" s="8" t="s">
        <v>14</v>
      </c>
      <c r="E381" s="2" t="str">
        <f>"183.97"</f>
        <v>183.97</v>
      </c>
      <c r="F381" s="9"/>
      <c r="G381" s="9">
        <v>2017</v>
      </c>
      <c r="H381" s="10" t="str">
        <f>"292.57"</f>
        <v>292.57</v>
      </c>
      <c r="I381" s="10"/>
      <c r="J381" s="10"/>
      <c r="K381" s="10"/>
      <c r="L381" s="10"/>
      <c r="M381" s="10" t="str">
        <f>"213.24"</f>
        <v>213.24</v>
      </c>
      <c r="N381" s="10"/>
      <c r="O381" s="10" t="str">
        <f>"192.87"</f>
        <v>192.87</v>
      </c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 t="str">
        <f>"175.07"</f>
        <v>175.07</v>
      </c>
      <c r="AL381" s="10"/>
      <c r="AM381" s="10"/>
      <c r="AN381" s="10"/>
      <c r="AO381" s="10"/>
    </row>
    <row r="382" spans="1:41">
      <c r="A382" s="8">
        <v>380</v>
      </c>
      <c r="B382" s="8">
        <v>1247</v>
      </c>
      <c r="C382" s="8" t="s">
        <v>549</v>
      </c>
      <c r="D382" s="8" t="s">
        <v>55</v>
      </c>
      <c r="E382" s="2" t="str">
        <f>"184.11"</f>
        <v>184.11</v>
      </c>
      <c r="F382" s="9" t="s">
        <v>11</v>
      </c>
      <c r="G382" s="9">
        <v>2017</v>
      </c>
      <c r="H382" s="10" t="str">
        <f>"144.11"</f>
        <v>144.11</v>
      </c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</row>
    <row r="383" spans="1:41">
      <c r="A383" s="8">
        <v>381</v>
      </c>
      <c r="B383" s="8">
        <v>1973</v>
      </c>
      <c r="C383" s="8" t="s">
        <v>550</v>
      </c>
      <c r="D383" s="8" t="s">
        <v>92</v>
      </c>
      <c r="E383" s="2" t="str">
        <f>"184.54"</f>
        <v>184.54</v>
      </c>
      <c r="F383" s="9"/>
      <c r="G383" s="9">
        <v>2017</v>
      </c>
      <c r="H383" s="10" t="str">
        <f>"176.06"</f>
        <v>176.06</v>
      </c>
      <c r="I383" s="10"/>
      <c r="J383" s="10"/>
      <c r="K383" s="10"/>
      <c r="L383" s="10"/>
      <c r="M383" s="10" t="str">
        <f>"203.20"</f>
        <v>203.20</v>
      </c>
      <c r="N383" s="10"/>
      <c r="O383" s="10" t="str">
        <f>"207.72"</f>
        <v>207.72</v>
      </c>
      <c r="P383" s="10"/>
      <c r="Q383" s="10"/>
      <c r="R383" s="10"/>
      <c r="S383" s="10"/>
      <c r="T383" s="10" t="str">
        <f>"239.95"</f>
        <v>239.95</v>
      </c>
      <c r="U383" s="10"/>
      <c r="V383" s="10"/>
      <c r="W383" s="10"/>
      <c r="X383" s="10"/>
      <c r="Y383" s="10"/>
      <c r="Z383" s="10" t="str">
        <f>"165.88"</f>
        <v>165.88</v>
      </c>
      <c r="AA383" s="10"/>
      <c r="AB383" s="10"/>
      <c r="AC383" s="10" t="str">
        <f>"217.22"</f>
        <v>217.22</v>
      </c>
      <c r="AD383" s="10" t="str">
        <f>"225.41"</f>
        <v>225.41</v>
      </c>
      <c r="AE383" s="10"/>
      <c r="AF383" s="10"/>
      <c r="AG383" s="10"/>
      <c r="AH383" s="10" t="str">
        <f>"257.39"</f>
        <v>257.39</v>
      </c>
      <c r="AI383" s="10" t="str">
        <f>"250.30"</f>
        <v>250.30</v>
      </c>
      <c r="AJ383" s="10"/>
      <c r="AK383" s="10"/>
      <c r="AL383" s="10"/>
      <c r="AM383" s="10"/>
      <c r="AN383" s="10"/>
      <c r="AO383" s="10"/>
    </row>
    <row r="384" spans="1:41">
      <c r="A384" s="8">
        <v>382</v>
      </c>
      <c r="B384" s="8">
        <v>10999</v>
      </c>
      <c r="C384" s="8" t="s">
        <v>551</v>
      </c>
      <c r="D384" s="8" t="s">
        <v>336</v>
      </c>
      <c r="E384" s="2" t="str">
        <f>"184.58"</f>
        <v>184.58</v>
      </c>
      <c r="F384" s="9" t="s">
        <v>11</v>
      </c>
      <c r="G384" s="9">
        <v>2017</v>
      </c>
      <c r="H384" s="10" t="str">
        <f>"144.58"</f>
        <v>144.58</v>
      </c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</row>
    <row r="385" spans="1:41">
      <c r="A385" s="8">
        <v>383</v>
      </c>
      <c r="B385" s="8">
        <v>1343</v>
      </c>
      <c r="C385" s="8" t="s">
        <v>552</v>
      </c>
      <c r="D385" s="8" t="s">
        <v>49</v>
      </c>
      <c r="E385" s="2" t="str">
        <f>"184.60"</f>
        <v>184.60</v>
      </c>
      <c r="F385" s="9"/>
      <c r="G385" s="9">
        <v>2017</v>
      </c>
      <c r="H385" s="10" t="str">
        <f>"232.71"</f>
        <v>232.71</v>
      </c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 t="str">
        <f>"199.34"</f>
        <v>199.34</v>
      </c>
      <c r="T385" s="10"/>
      <c r="U385" s="10"/>
      <c r="V385" s="10"/>
      <c r="W385" s="10"/>
      <c r="X385" s="10"/>
      <c r="Y385" s="10"/>
      <c r="Z385" s="10" t="str">
        <f>"183.87"</f>
        <v>183.87</v>
      </c>
      <c r="AA385" s="10"/>
      <c r="AB385" s="10"/>
      <c r="AC385" s="10"/>
      <c r="AD385" s="10"/>
      <c r="AE385" s="10"/>
      <c r="AF385" s="10"/>
      <c r="AG385" s="10"/>
      <c r="AH385" s="10"/>
      <c r="AI385" s="10" t="str">
        <f>"219.42"</f>
        <v>219.42</v>
      </c>
      <c r="AJ385" s="10" t="str">
        <f>"185.32"</f>
        <v>185.32</v>
      </c>
      <c r="AK385" s="10"/>
      <c r="AL385" s="10"/>
      <c r="AM385" s="10"/>
      <c r="AN385" s="10"/>
      <c r="AO385" s="10"/>
    </row>
    <row r="386" spans="1:41">
      <c r="A386" s="8">
        <v>384</v>
      </c>
      <c r="B386" s="8">
        <v>2239</v>
      </c>
      <c r="C386" s="8" t="s">
        <v>553</v>
      </c>
      <c r="D386" s="8" t="s">
        <v>10</v>
      </c>
      <c r="E386" s="2" t="str">
        <f>"184.70"</f>
        <v>184.70</v>
      </c>
      <c r="F386" s="9"/>
      <c r="G386" s="9">
        <v>2017</v>
      </c>
      <c r="H386" s="10" t="str">
        <f>"243.31"</f>
        <v>243.31</v>
      </c>
      <c r="I386" s="10"/>
      <c r="J386" s="10"/>
      <c r="K386" s="10"/>
      <c r="L386" s="10"/>
      <c r="M386" s="10"/>
      <c r="N386" s="10"/>
      <c r="O386" s="10"/>
      <c r="P386" s="10"/>
      <c r="Q386" s="10" t="str">
        <f>"196.50"</f>
        <v>196.50</v>
      </c>
      <c r="R386" s="10" t="str">
        <f>"229.51"</f>
        <v>229.51</v>
      </c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 t="str">
        <f>"172.89"</f>
        <v>172.89</v>
      </c>
    </row>
    <row r="387" spans="1:41">
      <c r="A387" s="8">
        <v>385</v>
      </c>
      <c r="B387" s="8">
        <v>753</v>
      </c>
      <c r="C387" s="8" t="s">
        <v>554</v>
      </c>
      <c r="D387" s="8" t="s">
        <v>42</v>
      </c>
      <c r="E387" s="2" t="str">
        <f>"185.01"</f>
        <v>185.01</v>
      </c>
      <c r="F387" s="9"/>
      <c r="G387" s="9">
        <v>2017</v>
      </c>
      <c r="H387" s="10" t="str">
        <f>"169.13"</f>
        <v>169.13</v>
      </c>
      <c r="I387" s="10"/>
      <c r="J387" s="10"/>
      <c r="K387" s="10"/>
      <c r="L387" s="10"/>
      <c r="M387" s="10"/>
      <c r="N387" s="10" t="str">
        <f>"185.75"</f>
        <v>185.75</v>
      </c>
      <c r="O387" s="10"/>
      <c r="P387" s="10" t="str">
        <f>"185.10"</f>
        <v>185.10</v>
      </c>
      <c r="Q387" s="10"/>
      <c r="R387" s="10"/>
      <c r="S387" s="10"/>
      <c r="T387" s="10" t="str">
        <f>"184.91"</f>
        <v>184.91</v>
      </c>
      <c r="U387" s="10"/>
      <c r="V387" s="10"/>
      <c r="W387" s="10"/>
      <c r="X387" s="10"/>
      <c r="Y387" s="10"/>
      <c r="Z387" s="10"/>
      <c r="AA387" s="10"/>
      <c r="AB387" s="10"/>
      <c r="AC387" s="10" t="str">
        <f>"233.62"</f>
        <v>233.62</v>
      </c>
      <c r="AD387" s="10" t="str">
        <f>"185.67"</f>
        <v>185.67</v>
      </c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</row>
    <row r="388" spans="1:41">
      <c r="A388" s="8">
        <v>386</v>
      </c>
      <c r="B388" s="8">
        <v>10273</v>
      </c>
      <c r="C388" s="8" t="s">
        <v>555</v>
      </c>
      <c r="D388" s="8" t="s">
        <v>19</v>
      </c>
      <c r="E388" s="2" t="str">
        <f>"185.67"</f>
        <v>185.67</v>
      </c>
      <c r="F388" s="9"/>
      <c r="G388" s="9">
        <v>2017</v>
      </c>
      <c r="H388" s="10" t="str">
        <f>"214.88"</f>
        <v>214.88</v>
      </c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 t="str">
        <f>"192.84"</f>
        <v>192.84</v>
      </c>
      <c r="Z388" s="10"/>
      <c r="AA388" s="10"/>
      <c r="AB388" s="10" t="str">
        <f>"178.49"</f>
        <v>178.49</v>
      </c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</row>
    <row r="389" spans="1:41">
      <c r="A389" s="8">
        <v>387</v>
      </c>
      <c r="B389" s="8">
        <v>10739</v>
      </c>
      <c r="C389" s="8" t="s">
        <v>556</v>
      </c>
      <c r="D389" s="8" t="s">
        <v>19</v>
      </c>
      <c r="E389" s="2" t="str">
        <f>"185.82"</f>
        <v>185.82</v>
      </c>
      <c r="F389" s="9"/>
      <c r="G389" s="9">
        <v>2017</v>
      </c>
      <c r="H389" s="10" t="str">
        <f>"202.95"</f>
        <v>202.95</v>
      </c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 t="str">
        <f>"174.04"</f>
        <v>174.04</v>
      </c>
      <c r="AD389" s="10"/>
      <c r="AE389" s="10"/>
      <c r="AF389" s="10"/>
      <c r="AG389" s="10"/>
      <c r="AH389" s="10"/>
      <c r="AI389" s="10" t="str">
        <f>"197.60"</f>
        <v>197.60</v>
      </c>
      <c r="AJ389" s="10"/>
      <c r="AK389" s="10"/>
      <c r="AL389" s="10"/>
      <c r="AM389" s="10" t="str">
        <f>"228.47"</f>
        <v>228.47</v>
      </c>
      <c r="AN389" s="10"/>
      <c r="AO389" s="10"/>
    </row>
    <row r="390" spans="1:41">
      <c r="A390" s="8">
        <v>388</v>
      </c>
      <c r="B390" s="8">
        <v>4528</v>
      </c>
      <c r="C390" s="8" t="s">
        <v>557</v>
      </c>
      <c r="D390" s="8" t="s">
        <v>39</v>
      </c>
      <c r="E390" s="2" t="str">
        <f>"186.34"</f>
        <v>186.34</v>
      </c>
      <c r="F390" s="9"/>
      <c r="G390" s="9">
        <v>2017</v>
      </c>
      <c r="H390" s="10" t="str">
        <f>"187.21"</f>
        <v>187.21</v>
      </c>
      <c r="I390" s="10"/>
      <c r="J390" s="10"/>
      <c r="K390" s="10"/>
      <c r="L390" s="10"/>
      <c r="M390" s="10" t="str">
        <f>"244.93"</f>
        <v>244.93</v>
      </c>
      <c r="N390" s="10"/>
      <c r="O390" s="10" t="str">
        <f>"209.37"</f>
        <v>209.37</v>
      </c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 t="str">
        <f>"201.70"</f>
        <v>201.70</v>
      </c>
      <c r="AA390" s="10"/>
      <c r="AB390" s="10"/>
      <c r="AC390" s="10"/>
      <c r="AD390" s="10"/>
      <c r="AE390" s="10"/>
      <c r="AF390" s="10"/>
      <c r="AG390" s="10" t="str">
        <f>"170.97"</f>
        <v>170.97</v>
      </c>
      <c r="AH390" s="10"/>
      <c r="AI390" s="10"/>
      <c r="AJ390" s="10"/>
      <c r="AK390" s="10"/>
      <c r="AL390" s="10"/>
      <c r="AM390" s="10"/>
      <c r="AN390" s="10"/>
      <c r="AO390" s="10"/>
    </row>
    <row r="391" spans="1:41">
      <c r="A391" s="8">
        <v>389</v>
      </c>
      <c r="B391" s="8">
        <v>4092</v>
      </c>
      <c r="C391" s="8" t="s">
        <v>558</v>
      </c>
      <c r="D391" s="8" t="s">
        <v>30</v>
      </c>
      <c r="E391" s="2" t="str">
        <f>"186.63"</f>
        <v>186.63</v>
      </c>
      <c r="F391" s="9" t="s">
        <v>9</v>
      </c>
      <c r="G391" s="9">
        <v>2017</v>
      </c>
      <c r="H391" s="10" t="str">
        <f>"206.86"</f>
        <v>206.86</v>
      </c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 t="str">
        <f>"146.63"</f>
        <v>146.63</v>
      </c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</row>
    <row r="392" spans="1:41">
      <c r="A392" s="8">
        <v>390</v>
      </c>
      <c r="B392" s="8">
        <v>3464</v>
      </c>
      <c r="C392" s="8" t="s">
        <v>559</v>
      </c>
      <c r="D392" s="8" t="s">
        <v>39</v>
      </c>
      <c r="E392" s="2" t="str">
        <f>"187.31"</f>
        <v>187.31</v>
      </c>
      <c r="F392" s="9"/>
      <c r="G392" s="9">
        <v>2017</v>
      </c>
      <c r="H392" s="10" t="str">
        <f>"168.01"</f>
        <v>168.01</v>
      </c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 t="str">
        <f>"198.83"</f>
        <v>198.83</v>
      </c>
      <c r="AD392" s="10" t="str">
        <f>"198.99"</f>
        <v>198.99</v>
      </c>
      <c r="AE392" s="10"/>
      <c r="AF392" s="10"/>
      <c r="AG392" s="10"/>
      <c r="AH392" s="10"/>
      <c r="AI392" s="10" t="str">
        <f>"175.78"</f>
        <v>175.78</v>
      </c>
      <c r="AJ392" s="10"/>
      <c r="AK392" s="10"/>
      <c r="AL392" s="10"/>
      <c r="AM392" s="10"/>
      <c r="AN392" s="10"/>
      <c r="AO392" s="10"/>
    </row>
    <row r="393" spans="1:41">
      <c r="A393" s="8">
        <v>391</v>
      </c>
      <c r="B393" s="8">
        <v>6312</v>
      </c>
      <c r="C393" s="8" t="s">
        <v>560</v>
      </c>
      <c r="D393" s="8" t="s">
        <v>17</v>
      </c>
      <c r="E393" s="2" t="str">
        <f>"188.07"</f>
        <v>188.07</v>
      </c>
      <c r="F393" s="9"/>
      <c r="G393" s="9">
        <v>2017</v>
      </c>
      <c r="H393" s="10" t="str">
        <f>"166.12"</f>
        <v>166.12</v>
      </c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 t="str">
        <f>"270.80"</f>
        <v>270.80</v>
      </c>
      <c r="U393" s="10"/>
      <c r="V393" s="10"/>
      <c r="W393" s="10"/>
      <c r="X393" s="10"/>
      <c r="Y393" s="10"/>
      <c r="Z393" s="10"/>
      <c r="AA393" s="10" t="str">
        <f>"193.11"</f>
        <v>193.11</v>
      </c>
      <c r="AB393" s="10"/>
      <c r="AC393" s="10"/>
      <c r="AD393" s="10"/>
      <c r="AE393" s="10"/>
      <c r="AF393" s="10"/>
      <c r="AG393" s="10"/>
      <c r="AH393" s="10"/>
      <c r="AI393" s="10"/>
      <c r="AJ393" s="10"/>
      <c r="AK393" s="10" t="str">
        <f>"183.02"</f>
        <v>183.02</v>
      </c>
      <c r="AL393" s="10"/>
      <c r="AM393" s="10"/>
      <c r="AN393" s="10"/>
      <c r="AO393" s="10"/>
    </row>
    <row r="394" spans="1:41">
      <c r="A394" s="8">
        <v>392</v>
      </c>
      <c r="B394" s="8">
        <v>1290</v>
      </c>
      <c r="C394" s="8" t="s">
        <v>561</v>
      </c>
      <c r="D394" s="8" t="s">
        <v>84</v>
      </c>
      <c r="E394" s="2" t="str">
        <f>"188.29"</f>
        <v>188.29</v>
      </c>
      <c r="F394" s="9"/>
      <c r="G394" s="9">
        <v>2017</v>
      </c>
      <c r="H394" s="10" t="str">
        <f>"219.13"</f>
        <v>219.13</v>
      </c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 t="str">
        <f>"200.52"</f>
        <v>200.52</v>
      </c>
      <c r="AE394" s="10"/>
      <c r="AF394" s="10"/>
      <c r="AG394" s="10" t="str">
        <f>"176.63"</f>
        <v>176.63</v>
      </c>
      <c r="AH394" s="10" t="str">
        <f>"230.59"</f>
        <v>230.59</v>
      </c>
      <c r="AI394" s="10" t="str">
        <f>"199.95"</f>
        <v>199.95</v>
      </c>
      <c r="AJ394" s="10"/>
      <c r="AK394" s="10"/>
      <c r="AL394" s="10"/>
      <c r="AM394" s="10"/>
      <c r="AN394" s="10"/>
      <c r="AO394" s="10"/>
    </row>
    <row r="395" spans="1:41">
      <c r="A395" s="8">
        <v>393</v>
      </c>
      <c r="B395" s="8">
        <v>6080</v>
      </c>
      <c r="C395" s="8" t="s">
        <v>562</v>
      </c>
      <c r="D395" s="8" t="s">
        <v>51</v>
      </c>
      <c r="E395" s="2" t="str">
        <f>"188.34"</f>
        <v>188.34</v>
      </c>
      <c r="F395" s="9"/>
      <c r="G395" s="9">
        <v>2017</v>
      </c>
      <c r="H395" s="10" t="str">
        <f>"247.53"</f>
        <v>247.53</v>
      </c>
      <c r="I395" s="10"/>
      <c r="J395" s="10"/>
      <c r="K395" s="10"/>
      <c r="L395" s="10"/>
      <c r="M395" s="10" t="str">
        <f>"180.45"</f>
        <v>180.45</v>
      </c>
      <c r="N395" s="10"/>
      <c r="O395" s="10" t="str">
        <f>"218.12"</f>
        <v>218.12</v>
      </c>
      <c r="P395" s="10"/>
      <c r="Q395" s="10"/>
      <c r="R395" s="10"/>
      <c r="S395" s="10" t="str">
        <f>"269.29"</f>
        <v>269.29</v>
      </c>
      <c r="T395" s="10"/>
      <c r="U395" s="10"/>
      <c r="V395" s="10"/>
      <c r="W395" s="10"/>
      <c r="X395" s="10"/>
      <c r="Y395" s="10"/>
      <c r="Z395" s="10" t="str">
        <f>"247.07"</f>
        <v>247.07</v>
      </c>
      <c r="AA395" s="10"/>
      <c r="AB395" s="10"/>
      <c r="AC395" s="10" t="str">
        <f>"196.23"</f>
        <v>196.23</v>
      </c>
      <c r="AD395" s="10" t="str">
        <f>"223.88"</f>
        <v>223.88</v>
      </c>
      <c r="AE395" s="10"/>
      <c r="AF395" s="10"/>
      <c r="AG395" s="10"/>
      <c r="AH395" s="10"/>
      <c r="AI395" s="10" t="str">
        <f>"217.58"</f>
        <v>217.58</v>
      </c>
      <c r="AJ395" s="10"/>
      <c r="AK395" s="10"/>
      <c r="AL395" s="10"/>
      <c r="AM395" s="10"/>
      <c r="AN395" s="10"/>
      <c r="AO395" s="10"/>
    </row>
    <row r="396" spans="1:41">
      <c r="A396" s="8">
        <v>394</v>
      </c>
      <c r="B396" s="8">
        <v>5031</v>
      </c>
      <c r="C396" s="8" t="s">
        <v>563</v>
      </c>
      <c r="D396" s="8" t="s">
        <v>186</v>
      </c>
      <c r="E396" s="2" t="str">
        <f>"188.38"</f>
        <v>188.38</v>
      </c>
      <c r="F396" s="9"/>
      <c r="G396" s="9">
        <v>2017</v>
      </c>
      <c r="H396" s="10" t="str">
        <f>"269.89"</f>
        <v>269.89</v>
      </c>
      <c r="I396" s="10"/>
      <c r="J396" s="10"/>
      <c r="K396" s="10"/>
      <c r="L396" s="10"/>
      <c r="M396" s="10" t="str">
        <f>"174.65"</f>
        <v>174.65</v>
      </c>
      <c r="N396" s="10"/>
      <c r="O396" s="10" t="str">
        <f>"202.11"</f>
        <v>202.11</v>
      </c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 t="str">
        <f>"232.99"</f>
        <v>232.99</v>
      </c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</row>
    <row r="397" spans="1:41">
      <c r="A397" s="8">
        <v>395</v>
      </c>
      <c r="B397" s="8">
        <v>10451</v>
      </c>
      <c r="C397" s="8" t="s">
        <v>564</v>
      </c>
      <c r="D397" s="8" t="s">
        <v>19</v>
      </c>
      <c r="E397" s="2" t="str">
        <f>"188.66"</f>
        <v>188.66</v>
      </c>
      <c r="F397" s="9"/>
      <c r="G397" s="9">
        <v>2017</v>
      </c>
      <c r="H397" s="10" t="str">
        <f>"318.23"</f>
        <v>318.23</v>
      </c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 t="str">
        <f>"384.86"</f>
        <v>384.86</v>
      </c>
      <c r="Z397" s="10"/>
      <c r="AA397" s="10"/>
      <c r="AB397" s="10" t="str">
        <f>"285.97"</f>
        <v>285.97</v>
      </c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 t="str">
        <f>"190.73"</f>
        <v>190.73</v>
      </c>
      <c r="AO397" s="10" t="str">
        <f>"186.58"</f>
        <v>186.58</v>
      </c>
    </row>
    <row r="398" spans="1:41">
      <c r="A398" s="8">
        <v>396</v>
      </c>
      <c r="B398" s="8">
        <v>5248</v>
      </c>
      <c r="C398" s="8" t="s">
        <v>565</v>
      </c>
      <c r="D398" s="8" t="s">
        <v>33</v>
      </c>
      <c r="E398" s="2" t="str">
        <f>"188.80"</f>
        <v>188.80</v>
      </c>
      <c r="F398" s="9"/>
      <c r="G398" s="9">
        <v>2017</v>
      </c>
      <c r="H398" s="10" t="str">
        <f>"189.06"</f>
        <v>189.06</v>
      </c>
      <c r="I398" s="10"/>
      <c r="J398" s="10"/>
      <c r="K398" s="10"/>
      <c r="L398" s="10"/>
      <c r="M398" s="10" t="str">
        <f>"192.85"</f>
        <v>192.85</v>
      </c>
      <c r="N398" s="10"/>
      <c r="O398" s="10" t="str">
        <f>"191.38"</f>
        <v>191.38</v>
      </c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 t="str">
        <f>"186.22"</f>
        <v>186.22</v>
      </c>
      <c r="AA398" s="10"/>
      <c r="AB398" s="10"/>
      <c r="AC398" s="10"/>
      <c r="AD398" s="10"/>
      <c r="AE398" s="10"/>
      <c r="AF398" s="10"/>
      <c r="AG398" s="10"/>
      <c r="AH398" s="10"/>
      <c r="AI398" s="10" t="str">
        <f>"231.84"</f>
        <v>231.84</v>
      </c>
      <c r="AJ398" s="10"/>
      <c r="AK398" s="10"/>
      <c r="AL398" s="10"/>
      <c r="AM398" s="10"/>
      <c r="AN398" s="10"/>
      <c r="AO398" s="10"/>
    </row>
    <row r="399" spans="1:41">
      <c r="A399" s="8">
        <v>397</v>
      </c>
      <c r="B399" s="8">
        <v>10869</v>
      </c>
      <c r="C399" s="8" t="s">
        <v>566</v>
      </c>
      <c r="D399" s="8" t="s">
        <v>10</v>
      </c>
      <c r="E399" s="2" t="str">
        <f>"189.38"</f>
        <v>189.38</v>
      </c>
      <c r="F399" s="9"/>
      <c r="G399" s="9">
        <v>2017</v>
      </c>
      <c r="H399" s="10" t="str">
        <f>"274.15"</f>
        <v>274.15</v>
      </c>
      <c r="I399" s="10"/>
      <c r="J399" s="10"/>
      <c r="K399" s="10"/>
      <c r="L399" s="10"/>
      <c r="M399" s="10"/>
      <c r="N399" s="10"/>
      <c r="O399" s="10"/>
      <c r="P399" s="10"/>
      <c r="Q399" s="10" t="str">
        <f>"229.77"</f>
        <v>229.77</v>
      </c>
      <c r="R399" s="10" t="str">
        <f>"257.53"</f>
        <v>257.53</v>
      </c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 t="str">
        <f>"148.98"</f>
        <v>148.98</v>
      </c>
      <c r="AF399" s="10" t="str">
        <f>"245.26"</f>
        <v>245.26</v>
      </c>
      <c r="AG399" s="10"/>
      <c r="AH399" s="10"/>
      <c r="AI399" s="10"/>
      <c r="AJ399" s="10"/>
      <c r="AK399" s="10"/>
      <c r="AL399" s="10"/>
      <c r="AM399" s="10"/>
      <c r="AN399" s="10"/>
      <c r="AO399" s="10"/>
    </row>
    <row r="400" spans="1:41">
      <c r="A400" s="8">
        <v>398</v>
      </c>
      <c r="B400" s="8">
        <v>4413</v>
      </c>
      <c r="C400" s="8" t="s">
        <v>567</v>
      </c>
      <c r="D400" s="8" t="s">
        <v>14</v>
      </c>
      <c r="E400" s="2" t="str">
        <f>"189.39"</f>
        <v>189.39</v>
      </c>
      <c r="F400" s="9" t="s">
        <v>11</v>
      </c>
      <c r="G400" s="9">
        <v>2017</v>
      </c>
      <c r="H400" s="10" t="str">
        <f>"149.39"</f>
        <v>149.39</v>
      </c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</row>
    <row r="401" spans="1:41">
      <c r="A401" s="8">
        <v>399</v>
      </c>
      <c r="B401" s="8">
        <v>3023</v>
      </c>
      <c r="C401" s="8" t="s">
        <v>568</v>
      </c>
      <c r="D401" s="8" t="s">
        <v>32</v>
      </c>
      <c r="E401" s="2" t="str">
        <f>"189.41"</f>
        <v>189.41</v>
      </c>
      <c r="F401" s="9"/>
      <c r="G401" s="9">
        <v>2017</v>
      </c>
      <c r="H401" s="10" t="str">
        <f>"209.25"</f>
        <v>209.25</v>
      </c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 t="str">
        <f>"200.65"</f>
        <v>200.65</v>
      </c>
      <c r="U401" s="10"/>
      <c r="V401" s="10"/>
      <c r="W401" s="10"/>
      <c r="X401" s="10"/>
      <c r="Y401" s="10"/>
      <c r="Z401" s="10"/>
      <c r="AA401" s="10"/>
      <c r="AB401" s="10"/>
      <c r="AC401" s="10" t="str">
        <f>"180.04"</f>
        <v>180.04</v>
      </c>
      <c r="AD401" s="10" t="str">
        <f>"198.77"</f>
        <v>198.77</v>
      </c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</row>
    <row r="402" spans="1:41">
      <c r="A402" s="8">
        <v>400</v>
      </c>
      <c r="B402" s="8">
        <v>1621</v>
      </c>
      <c r="C402" s="8" t="s">
        <v>569</v>
      </c>
      <c r="D402" s="8" t="s">
        <v>30</v>
      </c>
      <c r="E402" s="2" t="str">
        <f>"189.77"</f>
        <v>189.77</v>
      </c>
      <c r="F402" s="9" t="s">
        <v>9</v>
      </c>
      <c r="G402" s="9">
        <v>2017</v>
      </c>
      <c r="H402" s="10" t="str">
        <f>"177.91"</f>
        <v>177.91</v>
      </c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 t="str">
        <f>"149.77"</f>
        <v>149.77</v>
      </c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</row>
    <row r="403" spans="1:41">
      <c r="A403" s="8">
        <v>401</v>
      </c>
      <c r="B403" s="8">
        <v>9467</v>
      </c>
      <c r="C403" s="8" t="s">
        <v>570</v>
      </c>
      <c r="D403" s="8" t="s">
        <v>571</v>
      </c>
      <c r="E403" s="2" t="str">
        <f>"189.88"</f>
        <v>189.88</v>
      </c>
      <c r="F403" s="9"/>
      <c r="G403" s="9">
        <v>2017</v>
      </c>
      <c r="H403" s="10" t="str">
        <f>"216.54"</f>
        <v>216.54</v>
      </c>
      <c r="I403" s="10"/>
      <c r="J403" s="10"/>
      <c r="K403" s="10"/>
      <c r="L403" s="10"/>
      <c r="M403" s="10" t="str">
        <f>"202.89"</f>
        <v>202.89</v>
      </c>
      <c r="N403" s="10"/>
      <c r="O403" s="10" t="str">
        <f>"176.86"</f>
        <v>176.86</v>
      </c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</row>
    <row r="404" spans="1:41">
      <c r="A404" s="8">
        <v>402</v>
      </c>
      <c r="B404" s="8">
        <v>1616</v>
      </c>
      <c r="C404" s="8" t="s">
        <v>572</v>
      </c>
      <c r="D404" s="8" t="s">
        <v>20</v>
      </c>
      <c r="E404" s="2" t="str">
        <f>"190.27"</f>
        <v>190.27</v>
      </c>
      <c r="F404" s="9"/>
      <c r="G404" s="9">
        <v>2017</v>
      </c>
      <c r="H404" s="10" t="str">
        <f>"192.65"</f>
        <v>192.65</v>
      </c>
      <c r="I404" s="10"/>
      <c r="J404" s="10"/>
      <c r="K404" s="10"/>
      <c r="L404" s="10"/>
      <c r="M404" s="10"/>
      <c r="N404" s="10" t="str">
        <f>"199.34"</f>
        <v>199.34</v>
      </c>
      <c r="O404" s="10"/>
      <c r="P404" s="10" t="str">
        <f>"181.19"</f>
        <v>181.19</v>
      </c>
      <c r="Q404" s="10"/>
      <c r="R404" s="10"/>
      <c r="S404" s="10"/>
      <c r="T404" s="10" t="str">
        <f>"242.90"</f>
        <v>242.90</v>
      </c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</row>
    <row r="405" spans="1:41">
      <c r="A405" s="8">
        <v>403</v>
      </c>
      <c r="B405" s="8">
        <v>10671</v>
      </c>
      <c r="C405" s="8" t="s">
        <v>573</v>
      </c>
      <c r="D405" s="8" t="s">
        <v>80</v>
      </c>
      <c r="E405" s="2" t="str">
        <f>"190.27"</f>
        <v>190.27</v>
      </c>
      <c r="F405" s="9"/>
      <c r="G405" s="9">
        <v>2017</v>
      </c>
      <c r="H405" s="10" t="str">
        <f>"265.77"</f>
        <v>265.77</v>
      </c>
      <c r="I405" s="10"/>
      <c r="J405" s="10"/>
      <c r="K405" s="10"/>
      <c r="L405" s="10"/>
      <c r="M405" s="10" t="str">
        <f>"190.96"</f>
        <v>190.96</v>
      </c>
      <c r="N405" s="10"/>
      <c r="O405" s="10" t="str">
        <f>"189.57"</f>
        <v>189.57</v>
      </c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 t="str">
        <f>"231.11"</f>
        <v>231.11</v>
      </c>
      <c r="AA405" s="10"/>
      <c r="AB405" s="10"/>
      <c r="AC405" s="10"/>
      <c r="AD405" s="10"/>
      <c r="AE405" s="10"/>
      <c r="AF405" s="10"/>
      <c r="AG405" s="10"/>
      <c r="AH405" s="10"/>
      <c r="AI405" s="10" t="str">
        <f>"257.86"</f>
        <v>257.86</v>
      </c>
      <c r="AJ405" s="10"/>
      <c r="AK405" s="10"/>
      <c r="AL405" s="10"/>
      <c r="AM405" s="10"/>
      <c r="AN405" s="10"/>
      <c r="AO405" s="10"/>
    </row>
    <row r="406" spans="1:41">
      <c r="A406" s="8">
        <v>404</v>
      </c>
      <c r="B406" s="8">
        <v>7625</v>
      </c>
      <c r="C406" s="8" t="s">
        <v>574</v>
      </c>
      <c r="D406" s="8" t="s">
        <v>186</v>
      </c>
      <c r="E406" s="2" t="str">
        <f>"190.63"</f>
        <v>190.63</v>
      </c>
      <c r="F406" s="9"/>
      <c r="G406" s="9">
        <v>2017</v>
      </c>
      <c r="H406" s="10" t="str">
        <f>"228.53"</f>
        <v>228.53</v>
      </c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 t="str">
        <f>"289.33"</f>
        <v>289.33</v>
      </c>
      <c r="T406" s="10"/>
      <c r="U406" s="10"/>
      <c r="V406" s="10"/>
      <c r="W406" s="10"/>
      <c r="X406" s="10"/>
      <c r="Y406" s="10"/>
      <c r="Z406" s="10"/>
      <c r="AA406" s="10"/>
      <c r="AB406" s="10"/>
      <c r="AC406" s="10" t="str">
        <f>"205.63"</f>
        <v>205.63</v>
      </c>
      <c r="AD406" s="10" t="str">
        <f>"175.63"</f>
        <v>175.63</v>
      </c>
      <c r="AE406" s="10"/>
      <c r="AF406" s="10"/>
      <c r="AG406" s="10"/>
      <c r="AH406" s="10"/>
      <c r="AI406" s="10" t="str">
        <f>"251.31"</f>
        <v>251.31</v>
      </c>
      <c r="AJ406" s="10" t="str">
        <f>"226.03"</f>
        <v>226.03</v>
      </c>
      <c r="AK406" s="10"/>
      <c r="AL406" s="10"/>
      <c r="AM406" s="10"/>
      <c r="AN406" s="10"/>
      <c r="AO406" s="10"/>
    </row>
    <row r="407" spans="1:41">
      <c r="A407" s="8">
        <v>405</v>
      </c>
      <c r="B407" s="8">
        <v>10182</v>
      </c>
      <c r="C407" s="8" t="s">
        <v>575</v>
      </c>
      <c r="D407" s="8" t="s">
        <v>10</v>
      </c>
      <c r="E407" s="2" t="str">
        <f>"190.64"</f>
        <v>190.64</v>
      </c>
      <c r="F407" s="9"/>
      <c r="G407" s="9">
        <v>2017</v>
      </c>
      <c r="H407" s="10" t="str">
        <f>"373.12"</f>
        <v>373.12</v>
      </c>
      <c r="I407" s="10"/>
      <c r="J407" s="10"/>
      <c r="K407" s="10"/>
      <c r="L407" s="10"/>
      <c r="M407" s="10"/>
      <c r="N407" s="10"/>
      <c r="O407" s="10"/>
      <c r="P407" s="10"/>
      <c r="Q407" s="10" t="str">
        <f>"305.04"</f>
        <v>305.04</v>
      </c>
      <c r="R407" s="10" t="str">
        <f>"315.30"</f>
        <v>315.30</v>
      </c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 t="str">
        <f>"196.81"</f>
        <v>196.81</v>
      </c>
      <c r="AO407" s="10" t="str">
        <f>"184.46"</f>
        <v>184.46</v>
      </c>
    </row>
    <row r="408" spans="1:41">
      <c r="A408" s="8">
        <v>406</v>
      </c>
      <c r="B408" s="8">
        <v>1719</v>
      </c>
      <c r="C408" s="8" t="s">
        <v>576</v>
      </c>
      <c r="D408" s="8" t="s">
        <v>22</v>
      </c>
      <c r="E408" s="2" t="str">
        <f>"190.82"</f>
        <v>190.82</v>
      </c>
      <c r="F408" s="9"/>
      <c r="G408" s="9">
        <v>2017</v>
      </c>
      <c r="H408" s="10" t="str">
        <f>"228.96"</f>
        <v>228.96</v>
      </c>
      <c r="I408" s="10"/>
      <c r="J408" s="10"/>
      <c r="K408" s="10"/>
      <c r="L408" s="10"/>
      <c r="M408" s="10" t="str">
        <f>"201.48"</f>
        <v>201.48</v>
      </c>
      <c r="N408" s="10"/>
      <c r="O408" s="10" t="str">
        <f>"180.16"</f>
        <v>180.16</v>
      </c>
      <c r="P408" s="10"/>
      <c r="Q408" s="10"/>
      <c r="R408" s="10"/>
      <c r="S408" s="10" t="str">
        <f>"251.62"</f>
        <v>251.62</v>
      </c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 t="str">
        <f>"213.35"</f>
        <v>213.35</v>
      </c>
      <c r="AK408" s="10"/>
      <c r="AL408" s="10"/>
      <c r="AM408" s="10"/>
      <c r="AN408" s="10"/>
      <c r="AO408" s="10"/>
    </row>
    <row r="409" spans="1:41">
      <c r="A409" s="8">
        <v>407</v>
      </c>
      <c r="B409" s="8">
        <v>5679</v>
      </c>
      <c r="C409" s="8" t="s">
        <v>577</v>
      </c>
      <c r="D409" s="8" t="s">
        <v>14</v>
      </c>
      <c r="E409" s="2" t="str">
        <f>"190.83"</f>
        <v>190.83</v>
      </c>
      <c r="F409" s="9"/>
      <c r="G409" s="9">
        <v>2017</v>
      </c>
      <c r="H409" s="10" t="str">
        <f>"167.53"</f>
        <v>167.53</v>
      </c>
      <c r="I409" s="10"/>
      <c r="J409" s="10"/>
      <c r="K409" s="10"/>
      <c r="L409" s="10" t="str">
        <f>"192.99"</f>
        <v>192.99</v>
      </c>
      <c r="M409" s="10"/>
      <c r="N409" s="10"/>
      <c r="O409" s="10"/>
      <c r="P409" s="10"/>
      <c r="Q409" s="10"/>
      <c r="R409" s="10"/>
      <c r="S409" s="10" t="str">
        <f>"189.80"</f>
        <v>189.80</v>
      </c>
      <c r="T409" s="10"/>
      <c r="U409" s="10"/>
      <c r="V409" s="10"/>
      <c r="W409" s="10"/>
      <c r="X409" s="10"/>
      <c r="Y409" s="10"/>
      <c r="Z409" s="10" t="str">
        <f>"191.85"</f>
        <v>191.85</v>
      </c>
      <c r="AA409" s="10"/>
      <c r="AB409" s="10"/>
      <c r="AC409" s="10"/>
      <c r="AD409" s="10"/>
      <c r="AE409" s="10"/>
      <c r="AF409" s="10"/>
      <c r="AG409" s="10"/>
      <c r="AH409" s="10"/>
      <c r="AI409" s="10" t="str">
        <f>"241.07"</f>
        <v>241.07</v>
      </c>
      <c r="AJ409" s="10"/>
      <c r="AK409" s="10"/>
      <c r="AL409" s="10"/>
      <c r="AM409" s="10"/>
      <c r="AN409" s="10"/>
      <c r="AO409" s="10"/>
    </row>
    <row r="410" spans="1:41">
      <c r="A410" s="8">
        <v>408</v>
      </c>
      <c r="B410" s="8">
        <v>4325</v>
      </c>
      <c r="C410" s="8" t="s">
        <v>578</v>
      </c>
      <c r="D410" s="8" t="s">
        <v>571</v>
      </c>
      <c r="E410" s="2" t="str">
        <f>"191.47"</f>
        <v>191.47</v>
      </c>
      <c r="F410" s="9"/>
      <c r="G410" s="9">
        <v>2017</v>
      </c>
      <c r="H410" s="10" t="str">
        <f>"317.42"</f>
        <v>317.42</v>
      </c>
      <c r="I410" s="10"/>
      <c r="J410" s="10"/>
      <c r="K410" s="10"/>
      <c r="L410" s="10"/>
      <c r="M410" s="10" t="str">
        <f>"195.51"</f>
        <v>195.51</v>
      </c>
      <c r="N410" s="10"/>
      <c r="O410" s="10" t="str">
        <f>"187.42"</f>
        <v>187.42</v>
      </c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 t="str">
        <f>"227.67"</f>
        <v>227.67</v>
      </c>
      <c r="AA410" s="10"/>
      <c r="AB410" s="10"/>
      <c r="AC410" s="10" t="str">
        <f>"218.02"</f>
        <v>218.02</v>
      </c>
      <c r="AD410" s="10" t="str">
        <f>"196.81"</f>
        <v>196.81</v>
      </c>
      <c r="AE410" s="10"/>
      <c r="AF410" s="10"/>
      <c r="AG410" s="10"/>
      <c r="AH410" s="10"/>
      <c r="AI410" s="10" t="str">
        <f>"211.70"</f>
        <v>211.70</v>
      </c>
      <c r="AJ410" s="10"/>
      <c r="AK410" s="10"/>
      <c r="AL410" s="10"/>
      <c r="AM410" s="10"/>
      <c r="AN410" s="10"/>
      <c r="AO410" s="10"/>
    </row>
    <row r="411" spans="1:41">
      <c r="A411" s="8">
        <v>409</v>
      </c>
      <c r="B411" s="8">
        <v>1208</v>
      </c>
      <c r="C411" s="8" t="s">
        <v>579</v>
      </c>
      <c r="D411" s="8" t="s">
        <v>64</v>
      </c>
      <c r="E411" s="2" t="str">
        <f>"191.99"</f>
        <v>191.99</v>
      </c>
      <c r="F411" s="9"/>
      <c r="G411" s="9">
        <v>2017</v>
      </c>
      <c r="H411" s="10" t="str">
        <f>"210.49"</f>
        <v>210.49</v>
      </c>
      <c r="I411" s="10"/>
      <c r="J411" s="10"/>
      <c r="K411" s="10"/>
      <c r="L411" s="10"/>
      <c r="M411" s="10"/>
      <c r="N411" s="10" t="str">
        <f>"193.02"</f>
        <v>193.02</v>
      </c>
      <c r="O411" s="10"/>
      <c r="P411" s="10" t="str">
        <f>"190.96"</f>
        <v>190.96</v>
      </c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</row>
    <row r="412" spans="1:41">
      <c r="A412" s="8">
        <v>410</v>
      </c>
      <c r="B412" s="8">
        <v>10105</v>
      </c>
      <c r="C412" s="8" t="s">
        <v>580</v>
      </c>
      <c r="D412" s="8" t="s">
        <v>27</v>
      </c>
      <c r="E412" s="2" t="str">
        <f>"192.02"</f>
        <v>192.02</v>
      </c>
      <c r="F412" s="9"/>
      <c r="G412" s="9">
        <v>2017</v>
      </c>
      <c r="H412" s="10" t="str">
        <f>"186.09"</f>
        <v>186.09</v>
      </c>
      <c r="I412" s="10"/>
      <c r="J412" s="10"/>
      <c r="K412" s="10"/>
      <c r="L412" s="10"/>
      <c r="M412" s="10" t="str">
        <f>"177.79"</f>
        <v>177.79</v>
      </c>
      <c r="N412" s="10"/>
      <c r="O412" s="10" t="str">
        <f>"206.24"</f>
        <v>206.24</v>
      </c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 t="str">
        <f>"287.16"</f>
        <v>287.16</v>
      </c>
      <c r="AI412" s="10"/>
      <c r="AJ412" s="10"/>
      <c r="AK412" s="10"/>
      <c r="AL412" s="10"/>
      <c r="AM412" s="10"/>
      <c r="AN412" s="10"/>
      <c r="AO412" s="10"/>
    </row>
    <row r="413" spans="1:41">
      <c r="A413" s="8">
        <v>411</v>
      </c>
      <c r="B413" s="8">
        <v>10871</v>
      </c>
      <c r="C413" s="8" t="s">
        <v>581</v>
      </c>
      <c r="D413" s="8" t="s">
        <v>10</v>
      </c>
      <c r="E413" s="2" t="str">
        <f>"192.54"</f>
        <v>192.54</v>
      </c>
      <c r="F413" s="9"/>
      <c r="G413" s="9">
        <v>2017</v>
      </c>
      <c r="H413" s="10" t="str">
        <f>"352.37"</f>
        <v>352.37</v>
      </c>
      <c r="I413" s="10" t="str">
        <f>"246.11"</f>
        <v>246.11</v>
      </c>
      <c r="J413" s="10"/>
      <c r="K413" s="10" t="str">
        <f>"230.39"</f>
        <v>230.39</v>
      </c>
      <c r="L413" s="10"/>
      <c r="M413" s="10"/>
      <c r="N413" s="10"/>
      <c r="O413" s="10"/>
      <c r="P413" s="10"/>
      <c r="Q413" s="10" t="str">
        <f>"297.95"</f>
        <v>297.95</v>
      </c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 t="str">
        <f>"191.99"</f>
        <v>191.99</v>
      </c>
      <c r="AF413" s="10" t="str">
        <f>"193.08"</f>
        <v>193.08</v>
      </c>
      <c r="AG413" s="10"/>
      <c r="AH413" s="10"/>
      <c r="AI413" s="10"/>
      <c r="AJ413" s="10"/>
      <c r="AK413" s="10"/>
      <c r="AL413" s="10"/>
      <c r="AM413" s="10"/>
      <c r="AN413" s="10"/>
      <c r="AO413" s="10"/>
    </row>
    <row r="414" spans="1:41">
      <c r="A414" s="8">
        <v>412</v>
      </c>
      <c r="B414" s="8">
        <v>5728</v>
      </c>
      <c r="C414" s="8" t="s">
        <v>582</v>
      </c>
      <c r="D414" s="8" t="s">
        <v>19</v>
      </c>
      <c r="E414" s="2" t="str">
        <f>"192.74"</f>
        <v>192.74</v>
      </c>
      <c r="F414" s="9"/>
      <c r="G414" s="9">
        <v>2017</v>
      </c>
      <c r="H414" s="10" t="str">
        <f>"275.95"</f>
        <v>275.95</v>
      </c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 t="str">
        <f>"210.52"</f>
        <v>210.52</v>
      </c>
      <c r="Z414" s="10"/>
      <c r="AA414" s="10"/>
      <c r="AB414" s="10" t="str">
        <f>"174.96"</f>
        <v>174.96</v>
      </c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</row>
    <row r="415" spans="1:41">
      <c r="A415" s="8">
        <v>413</v>
      </c>
      <c r="B415" s="8">
        <v>745</v>
      </c>
      <c r="C415" s="8" t="s">
        <v>583</v>
      </c>
      <c r="D415" s="8" t="s">
        <v>75</v>
      </c>
      <c r="E415" s="2" t="str">
        <f>"192.96"</f>
        <v>192.96</v>
      </c>
      <c r="F415" s="9"/>
      <c r="G415" s="9">
        <v>2017</v>
      </c>
      <c r="H415" s="10" t="str">
        <f>"225.67"</f>
        <v>225.67</v>
      </c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 t="str">
        <f>"214.82"</f>
        <v>214.82</v>
      </c>
      <c r="AD415" s="10" t="str">
        <f>"190.26"</f>
        <v>190.26</v>
      </c>
      <c r="AE415" s="10"/>
      <c r="AF415" s="10"/>
      <c r="AG415" s="10" t="str">
        <f>"195.66"</f>
        <v>195.66</v>
      </c>
      <c r="AH415" s="10" t="str">
        <f>"260.03"</f>
        <v>260.03</v>
      </c>
      <c r="AI415" s="10"/>
      <c r="AJ415" s="10"/>
      <c r="AK415" s="10"/>
      <c r="AL415" s="10"/>
      <c r="AM415" s="10"/>
      <c r="AN415" s="10"/>
      <c r="AO415" s="10"/>
    </row>
    <row r="416" spans="1:41">
      <c r="A416" s="8">
        <v>414</v>
      </c>
      <c r="B416" s="8">
        <v>1836</v>
      </c>
      <c r="C416" s="8" t="s">
        <v>584</v>
      </c>
      <c r="D416" s="8" t="s">
        <v>27</v>
      </c>
      <c r="E416" s="2" t="str">
        <f>"193.17"</f>
        <v>193.17</v>
      </c>
      <c r="F416" s="9" t="s">
        <v>9</v>
      </c>
      <c r="G416" s="9">
        <v>2017</v>
      </c>
      <c r="H416" s="10" t="str">
        <f>"82.11"</f>
        <v>82.11</v>
      </c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 t="str">
        <f>"153.17"</f>
        <v>153.17</v>
      </c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</row>
    <row r="417" spans="1:41">
      <c r="A417" s="8">
        <v>415</v>
      </c>
      <c r="B417" s="8">
        <v>2403</v>
      </c>
      <c r="C417" s="8" t="s">
        <v>585</v>
      </c>
      <c r="D417" s="8" t="s">
        <v>10</v>
      </c>
      <c r="E417" s="2" t="str">
        <f>"193.21"</f>
        <v>193.21</v>
      </c>
      <c r="F417" s="9"/>
      <c r="G417" s="9">
        <v>2017</v>
      </c>
      <c r="H417" s="10" t="str">
        <f>"190.88"</f>
        <v>190.88</v>
      </c>
      <c r="I417" s="10"/>
      <c r="J417" s="10"/>
      <c r="K417" s="10"/>
      <c r="L417" s="10"/>
      <c r="M417" s="10"/>
      <c r="N417" s="10"/>
      <c r="O417" s="10"/>
      <c r="P417" s="10"/>
      <c r="Q417" s="10"/>
      <c r="R417" s="10" t="str">
        <f>"253.47"</f>
        <v>253.47</v>
      </c>
      <c r="S417" s="10" t="str">
        <f>"271.67"</f>
        <v>271.67</v>
      </c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 t="str">
        <f>"202.76"</f>
        <v>202.76</v>
      </c>
      <c r="AG417" s="10"/>
      <c r="AH417" s="10" t="str">
        <f>"254.54"</f>
        <v>254.54</v>
      </c>
      <c r="AI417" s="10"/>
      <c r="AJ417" s="10"/>
      <c r="AK417" s="10"/>
      <c r="AL417" s="10"/>
      <c r="AM417" s="10"/>
      <c r="AN417" s="10"/>
      <c r="AO417" s="10" t="str">
        <f>"183.66"</f>
        <v>183.66</v>
      </c>
    </row>
    <row r="418" spans="1:41">
      <c r="A418" s="8">
        <v>416</v>
      </c>
      <c r="B418" s="8">
        <v>9969</v>
      </c>
      <c r="C418" s="8" t="s">
        <v>586</v>
      </c>
      <c r="D418" s="8" t="s">
        <v>14</v>
      </c>
      <c r="E418" s="2" t="str">
        <f>"193.30"</f>
        <v>193.30</v>
      </c>
      <c r="F418" s="9"/>
      <c r="G418" s="9">
        <v>2017</v>
      </c>
      <c r="H418" s="10" t="str">
        <f>"204.61"</f>
        <v>204.61</v>
      </c>
      <c r="I418" s="10" t="str">
        <f>"172.77"</f>
        <v>172.77</v>
      </c>
      <c r="J418" s="10"/>
      <c r="K418" s="10" t="str">
        <f>"213.82"</f>
        <v>213.82</v>
      </c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</row>
    <row r="419" spans="1:41">
      <c r="A419" s="8">
        <v>417</v>
      </c>
      <c r="B419" s="8">
        <v>4005</v>
      </c>
      <c r="C419" s="8" t="s">
        <v>587</v>
      </c>
      <c r="D419" s="8" t="s">
        <v>63</v>
      </c>
      <c r="E419" s="2" t="str">
        <f>"194.23"</f>
        <v>194.23</v>
      </c>
      <c r="F419" s="9"/>
      <c r="G419" s="9">
        <v>2017</v>
      </c>
      <c r="H419" s="10" t="str">
        <f>"169.67"</f>
        <v>169.67</v>
      </c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 t="str">
        <f>"171.04"</f>
        <v>171.04</v>
      </c>
      <c r="AA419" s="10"/>
      <c r="AB419" s="10"/>
      <c r="AC419" s="10"/>
      <c r="AD419" s="10"/>
      <c r="AE419" s="10"/>
      <c r="AF419" s="10"/>
      <c r="AG419" s="10"/>
      <c r="AH419" s="10"/>
      <c r="AI419" s="10" t="str">
        <f>"217.41"</f>
        <v>217.41</v>
      </c>
      <c r="AJ419" s="10"/>
      <c r="AK419" s="10"/>
      <c r="AL419" s="10" t="str">
        <f>"228.69"</f>
        <v>228.69</v>
      </c>
      <c r="AM419" s="10"/>
      <c r="AN419" s="10"/>
      <c r="AO419" s="10"/>
    </row>
    <row r="420" spans="1:41">
      <c r="A420" s="8">
        <v>418</v>
      </c>
      <c r="B420" s="8">
        <v>10190</v>
      </c>
      <c r="C420" s="8" t="s">
        <v>588</v>
      </c>
      <c r="D420" s="8" t="s">
        <v>10</v>
      </c>
      <c r="E420" s="2" t="str">
        <f>"194.56"</f>
        <v>194.56</v>
      </c>
      <c r="F420" s="9"/>
      <c r="G420" s="9">
        <v>2017</v>
      </c>
      <c r="H420" s="10" t="str">
        <f>"329.69"</f>
        <v>329.69</v>
      </c>
      <c r="I420" s="10"/>
      <c r="J420" s="10"/>
      <c r="K420" s="10"/>
      <c r="L420" s="10"/>
      <c r="M420" s="10"/>
      <c r="N420" s="10"/>
      <c r="O420" s="10"/>
      <c r="P420" s="10"/>
      <c r="Q420" s="10" t="str">
        <f>"223.64"</f>
        <v>223.64</v>
      </c>
      <c r="R420" s="10" t="str">
        <f>"285.54"</f>
        <v>285.54</v>
      </c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 t="str">
        <f>"210.45"</f>
        <v>210.45</v>
      </c>
      <c r="AF420" s="10" t="str">
        <f>"209.78"</f>
        <v>209.78</v>
      </c>
      <c r="AG420" s="10"/>
      <c r="AH420" s="10"/>
      <c r="AI420" s="10"/>
      <c r="AJ420" s="10"/>
      <c r="AK420" s="10"/>
      <c r="AL420" s="10"/>
      <c r="AM420" s="10"/>
      <c r="AN420" s="10" t="str">
        <f>"179.34"</f>
        <v>179.34</v>
      </c>
      <c r="AO420" s="10" t="str">
        <f>"245.20"</f>
        <v>245.20</v>
      </c>
    </row>
    <row r="421" spans="1:41">
      <c r="A421" s="8">
        <v>419</v>
      </c>
      <c r="B421" s="8">
        <v>11023</v>
      </c>
      <c r="C421" s="8" t="s">
        <v>589</v>
      </c>
      <c r="D421" s="8" t="s">
        <v>37</v>
      </c>
      <c r="E421" s="2" t="str">
        <f>"194.64"</f>
        <v>194.64</v>
      </c>
      <c r="F421" s="9" t="s">
        <v>9</v>
      </c>
      <c r="G421" s="9">
        <v>2017</v>
      </c>
      <c r="H421" s="10" t="str">
        <f>"222.65"</f>
        <v>222.65</v>
      </c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 t="str">
        <f>"154.64"</f>
        <v>154.64</v>
      </c>
      <c r="AJ421" s="10"/>
      <c r="AK421" s="10"/>
      <c r="AL421" s="10"/>
      <c r="AM421" s="10"/>
      <c r="AN421" s="10"/>
      <c r="AO421" s="10"/>
    </row>
    <row r="422" spans="1:41">
      <c r="A422" s="8">
        <v>420</v>
      </c>
      <c r="B422" s="8">
        <v>6125</v>
      </c>
      <c r="C422" s="8" t="s">
        <v>590</v>
      </c>
      <c r="D422" s="8" t="s">
        <v>19</v>
      </c>
      <c r="E422" s="2" t="str">
        <f>"195.05"</f>
        <v>195.05</v>
      </c>
      <c r="F422" s="9" t="s">
        <v>11</v>
      </c>
      <c r="G422" s="9">
        <v>2017</v>
      </c>
      <c r="H422" s="10" t="str">
        <f>"155.05"</f>
        <v>155.05</v>
      </c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</row>
    <row r="423" spans="1:41">
      <c r="A423" s="8">
        <v>421</v>
      </c>
      <c r="B423" s="8">
        <v>5400</v>
      </c>
      <c r="C423" s="8" t="s">
        <v>591</v>
      </c>
      <c r="D423" s="8" t="s">
        <v>592</v>
      </c>
      <c r="E423" s="2" t="str">
        <f>"195.56"</f>
        <v>195.56</v>
      </c>
      <c r="F423" s="9"/>
      <c r="G423" s="9">
        <v>2017</v>
      </c>
      <c r="H423" s="10" t="str">
        <f>"201.18"</f>
        <v>201.18</v>
      </c>
      <c r="I423" s="10"/>
      <c r="J423" s="10"/>
      <c r="K423" s="10"/>
      <c r="L423" s="10"/>
      <c r="M423" s="10" t="str">
        <f>"211.20"</f>
        <v>211.20</v>
      </c>
      <c r="N423" s="10"/>
      <c r="O423" s="10" t="str">
        <f>"204.92"</f>
        <v>204.92</v>
      </c>
      <c r="P423" s="10"/>
      <c r="Q423" s="10"/>
      <c r="R423" s="10"/>
      <c r="S423" s="10"/>
      <c r="T423" s="10" t="str">
        <f>"222.67"</f>
        <v>222.67</v>
      </c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 t="str">
        <f>"186.19"</f>
        <v>186.19</v>
      </c>
      <c r="AH423" s="10" t="str">
        <f>"273.10"</f>
        <v>273.10</v>
      </c>
      <c r="AI423" s="10"/>
      <c r="AJ423" s="10"/>
      <c r="AK423" s="10"/>
      <c r="AL423" s="10" t="str">
        <f>"276.88"</f>
        <v>276.88</v>
      </c>
      <c r="AM423" s="10"/>
      <c r="AN423" s="10"/>
      <c r="AO423" s="10"/>
    </row>
    <row r="424" spans="1:41">
      <c r="A424" s="8">
        <v>422</v>
      </c>
      <c r="B424" s="8">
        <v>10445</v>
      </c>
      <c r="C424" s="8" t="s">
        <v>593</v>
      </c>
      <c r="D424" s="8" t="s">
        <v>19</v>
      </c>
      <c r="E424" s="2" t="str">
        <f>"195.62"</f>
        <v>195.62</v>
      </c>
      <c r="F424" s="9"/>
      <c r="G424" s="9">
        <v>2017</v>
      </c>
      <c r="H424" s="10" t="str">
        <f>"321.08"</f>
        <v>321.08</v>
      </c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 t="str">
        <f>"316.46"</f>
        <v>316.46</v>
      </c>
      <c r="Z424" s="10"/>
      <c r="AA424" s="10"/>
      <c r="AB424" s="10" t="str">
        <f>"270.57"</f>
        <v>270.57</v>
      </c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 t="str">
        <f>"198.67"</f>
        <v>198.67</v>
      </c>
      <c r="AO424" s="10" t="str">
        <f>"192.56"</f>
        <v>192.56</v>
      </c>
    </row>
    <row r="425" spans="1:41">
      <c r="A425" s="8">
        <v>423</v>
      </c>
      <c r="B425" s="8">
        <v>2037</v>
      </c>
      <c r="C425" s="8" t="s">
        <v>594</v>
      </c>
      <c r="D425" s="8" t="s">
        <v>533</v>
      </c>
      <c r="E425" s="2" t="str">
        <f>"195.69"</f>
        <v>195.69</v>
      </c>
      <c r="F425" s="9"/>
      <c r="G425" s="9">
        <v>2017</v>
      </c>
      <c r="H425" s="10" t="str">
        <f>"199.70"</f>
        <v>199.70</v>
      </c>
      <c r="I425" s="10"/>
      <c r="J425" s="10"/>
      <c r="K425" s="10"/>
      <c r="L425" s="10"/>
      <c r="M425" s="10" t="str">
        <f>"198.18"</f>
        <v>198.18</v>
      </c>
      <c r="N425" s="10"/>
      <c r="O425" s="10" t="str">
        <f>"193.20"</f>
        <v>193.20</v>
      </c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 t="str">
        <f>"216.88"</f>
        <v>216.88</v>
      </c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</row>
    <row r="426" spans="1:41">
      <c r="A426" s="8">
        <v>424</v>
      </c>
      <c r="B426" s="8">
        <v>2335</v>
      </c>
      <c r="C426" s="8" t="s">
        <v>595</v>
      </c>
      <c r="D426" s="8" t="s">
        <v>32</v>
      </c>
      <c r="E426" s="2" t="str">
        <f>"195.84"</f>
        <v>195.84</v>
      </c>
      <c r="F426" s="9"/>
      <c r="G426" s="9">
        <v>2017</v>
      </c>
      <c r="H426" s="10" t="str">
        <f>"205.87"</f>
        <v>205.87</v>
      </c>
      <c r="I426" s="10"/>
      <c r="J426" s="10"/>
      <c r="K426" s="10"/>
      <c r="L426" s="10"/>
      <c r="M426" s="10"/>
      <c r="N426" s="10" t="str">
        <f>"198.92"</f>
        <v>198.92</v>
      </c>
      <c r="O426" s="10"/>
      <c r="P426" s="10" t="str">
        <f>"192.76"</f>
        <v>192.76</v>
      </c>
      <c r="Q426" s="10"/>
      <c r="R426" s="10"/>
      <c r="S426" s="10"/>
      <c r="T426" s="10" t="str">
        <f>"319.31"</f>
        <v>319.31</v>
      </c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</row>
    <row r="427" spans="1:41">
      <c r="A427" s="8">
        <v>425</v>
      </c>
      <c r="B427" s="8">
        <v>467</v>
      </c>
      <c r="C427" s="8" t="s">
        <v>596</v>
      </c>
      <c r="D427" s="8" t="s">
        <v>49</v>
      </c>
      <c r="E427" s="2" t="str">
        <f>"195.94"</f>
        <v>195.94</v>
      </c>
      <c r="F427" s="9" t="s">
        <v>9</v>
      </c>
      <c r="G427" s="9">
        <v>2017</v>
      </c>
      <c r="H427" s="10" t="str">
        <f>"294.73"</f>
        <v>294.73</v>
      </c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 t="str">
        <f>"155.94"</f>
        <v>155.94</v>
      </c>
      <c r="AK427" s="10"/>
      <c r="AL427" s="10"/>
      <c r="AM427" s="10"/>
      <c r="AN427" s="10"/>
      <c r="AO427" s="10"/>
    </row>
    <row r="428" spans="1:41">
      <c r="A428" s="8">
        <v>426</v>
      </c>
      <c r="B428" s="8">
        <v>10459</v>
      </c>
      <c r="C428" s="8" t="s">
        <v>597</v>
      </c>
      <c r="D428" s="8" t="s">
        <v>19</v>
      </c>
      <c r="E428" s="2" t="str">
        <f>"196.05"</f>
        <v>196.05</v>
      </c>
      <c r="F428" s="9" t="s">
        <v>9</v>
      </c>
      <c r="G428" s="9">
        <v>2017</v>
      </c>
      <c r="H428" s="10" t="str">
        <f>"347.58"</f>
        <v>347.58</v>
      </c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 t="str">
        <f>"156.05"</f>
        <v>156.05</v>
      </c>
      <c r="AO428" s="10"/>
    </row>
    <row r="429" spans="1:41">
      <c r="A429" s="8">
        <v>427</v>
      </c>
      <c r="B429" s="8">
        <v>3996</v>
      </c>
      <c r="C429" s="8" t="s">
        <v>598</v>
      </c>
      <c r="D429" s="8" t="s">
        <v>38</v>
      </c>
      <c r="E429" s="2" t="str">
        <f>"196.18"</f>
        <v>196.18</v>
      </c>
      <c r="F429" s="9" t="s">
        <v>9</v>
      </c>
      <c r="G429" s="9">
        <v>2017</v>
      </c>
      <c r="H429" s="10" t="str">
        <f>"155.31"</f>
        <v>155.31</v>
      </c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 t="str">
        <f>"156.18"</f>
        <v>156.18</v>
      </c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</row>
    <row r="430" spans="1:41">
      <c r="A430" s="8">
        <v>428</v>
      </c>
      <c r="B430" s="8">
        <v>6275</v>
      </c>
      <c r="C430" s="8" t="s">
        <v>599</v>
      </c>
      <c r="D430" s="8" t="s">
        <v>19</v>
      </c>
      <c r="E430" s="2" t="str">
        <f>"196.73"</f>
        <v>196.73</v>
      </c>
      <c r="F430" s="9"/>
      <c r="G430" s="9">
        <v>2017</v>
      </c>
      <c r="H430" s="10" t="str">
        <f>"300.40"</f>
        <v>300.40</v>
      </c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 t="str">
        <f>"218.95"</f>
        <v>218.95</v>
      </c>
      <c r="W430" s="10"/>
      <c r="X430" s="10"/>
      <c r="Y430" s="10" t="str">
        <f>"253.39"</f>
        <v>253.39</v>
      </c>
      <c r="Z430" s="10"/>
      <c r="AA430" s="10"/>
      <c r="AB430" s="10" t="str">
        <f>"206.52"</f>
        <v>206.52</v>
      </c>
      <c r="AC430" s="10" t="str">
        <f>"189.23"</f>
        <v>189.23</v>
      </c>
      <c r="AD430" s="10" t="str">
        <f>"204.23"</f>
        <v>204.23</v>
      </c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</row>
    <row r="431" spans="1:41">
      <c r="A431" s="8">
        <v>429</v>
      </c>
      <c r="B431" s="8">
        <v>2242</v>
      </c>
      <c r="C431" s="8" t="s">
        <v>600</v>
      </c>
      <c r="D431" s="8" t="s">
        <v>10</v>
      </c>
      <c r="E431" s="2" t="str">
        <f>"197.00"</f>
        <v>197.00</v>
      </c>
      <c r="F431" s="9"/>
      <c r="G431" s="9">
        <v>2017</v>
      </c>
      <c r="H431" s="10" t="str">
        <f>"311.41"</f>
        <v>311.41</v>
      </c>
      <c r="I431" s="10"/>
      <c r="J431" s="10"/>
      <c r="K431" s="10"/>
      <c r="L431" s="10"/>
      <c r="M431" s="10"/>
      <c r="N431" s="10"/>
      <c r="O431" s="10"/>
      <c r="P431" s="10"/>
      <c r="Q431" s="10" t="str">
        <f>"229.09"</f>
        <v>229.09</v>
      </c>
      <c r="R431" s="10" t="str">
        <f>"278.72"</f>
        <v>278.72</v>
      </c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 t="str">
        <f>"203.76"</f>
        <v>203.76</v>
      </c>
      <c r="AF431" s="10" t="str">
        <f>"190.23"</f>
        <v>190.23</v>
      </c>
      <c r="AG431" s="10"/>
      <c r="AH431" s="10"/>
      <c r="AI431" s="10"/>
      <c r="AJ431" s="10"/>
      <c r="AK431" s="10"/>
      <c r="AL431" s="10"/>
      <c r="AM431" s="10"/>
      <c r="AN431" s="10"/>
      <c r="AO431" s="10"/>
    </row>
    <row r="432" spans="1:41">
      <c r="A432" s="8">
        <v>430</v>
      </c>
      <c r="B432" s="8">
        <v>10690</v>
      </c>
      <c r="C432" s="8" t="s">
        <v>601</v>
      </c>
      <c r="D432" s="8" t="s">
        <v>14</v>
      </c>
      <c r="E432" s="2" t="str">
        <f>"197.45"</f>
        <v>197.45</v>
      </c>
      <c r="F432" s="9" t="s">
        <v>9</v>
      </c>
      <c r="G432" s="9">
        <v>2017</v>
      </c>
      <c r="H432" s="10" t="str">
        <f>"175.65"</f>
        <v>175.65</v>
      </c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 t="str">
        <f>"157.45"</f>
        <v>157.45</v>
      </c>
      <c r="AM432" s="10"/>
      <c r="AN432" s="10"/>
      <c r="AO432" s="10"/>
    </row>
    <row r="433" spans="1:41">
      <c r="A433" s="8">
        <v>431</v>
      </c>
      <c r="B433" s="8">
        <v>10415</v>
      </c>
      <c r="C433" s="8" t="s">
        <v>602</v>
      </c>
      <c r="D433" s="8" t="s">
        <v>19</v>
      </c>
      <c r="E433" s="2" t="str">
        <f>"197.60"</f>
        <v>197.60</v>
      </c>
      <c r="F433" s="9"/>
      <c r="G433" s="9">
        <v>2017</v>
      </c>
      <c r="H433" s="10" t="str">
        <f>"322.62"</f>
        <v>322.62</v>
      </c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 t="str">
        <f>"269.27"</f>
        <v>269.27</v>
      </c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 t="str">
        <f>"265.69"</f>
        <v>265.69</v>
      </c>
      <c r="AN433" s="10" t="str">
        <f>"201.31"</f>
        <v>201.31</v>
      </c>
      <c r="AO433" s="10" t="str">
        <f>"193.89"</f>
        <v>193.89</v>
      </c>
    </row>
    <row r="434" spans="1:41">
      <c r="A434" s="8">
        <v>432</v>
      </c>
      <c r="B434" s="8">
        <v>10680</v>
      </c>
      <c r="C434" s="8" t="s">
        <v>603</v>
      </c>
      <c r="D434" s="8" t="s">
        <v>19</v>
      </c>
      <c r="E434" s="2" t="str">
        <f>"197.86"</f>
        <v>197.86</v>
      </c>
      <c r="F434" s="9"/>
      <c r="G434" s="9">
        <v>2017</v>
      </c>
      <c r="H434" s="10" t="str">
        <f>"309.03"</f>
        <v>309.03</v>
      </c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 t="str">
        <f>"267.35"</f>
        <v>267.35</v>
      </c>
      <c r="Z434" s="10"/>
      <c r="AA434" s="10"/>
      <c r="AB434" s="10" t="str">
        <f>"176.63"</f>
        <v>176.63</v>
      </c>
      <c r="AC434" s="10"/>
      <c r="AD434" s="10"/>
      <c r="AE434" s="10"/>
      <c r="AF434" s="10"/>
      <c r="AG434" s="10"/>
      <c r="AH434" s="10"/>
      <c r="AI434" s="10" t="str">
        <f>"219.09"</f>
        <v>219.09</v>
      </c>
      <c r="AJ434" s="10"/>
      <c r="AK434" s="10"/>
      <c r="AL434" s="10"/>
      <c r="AM434" s="10" t="str">
        <f>"229.67"</f>
        <v>229.67</v>
      </c>
      <c r="AN434" s="10"/>
      <c r="AO434" s="10"/>
    </row>
    <row r="435" spans="1:41">
      <c r="A435" s="8">
        <v>433</v>
      </c>
      <c r="B435" s="8">
        <v>1645</v>
      </c>
      <c r="C435" s="8" t="s">
        <v>604</v>
      </c>
      <c r="D435" s="8" t="s">
        <v>32</v>
      </c>
      <c r="E435" s="2" t="str">
        <f>"198.35"</f>
        <v>198.35</v>
      </c>
      <c r="F435" s="9"/>
      <c r="G435" s="9">
        <v>2017</v>
      </c>
      <c r="H435" s="10" t="str">
        <f>"165.85"</f>
        <v>165.85</v>
      </c>
      <c r="I435" s="10"/>
      <c r="J435" s="10"/>
      <c r="K435" s="10"/>
      <c r="L435" s="10" t="str">
        <f>"205.26"</f>
        <v>205.26</v>
      </c>
      <c r="M435" s="10"/>
      <c r="N435" s="10"/>
      <c r="O435" s="10"/>
      <c r="P435" s="10"/>
      <c r="Q435" s="10"/>
      <c r="R435" s="10"/>
      <c r="S435" s="10"/>
      <c r="T435" s="10" t="str">
        <f>"191.44"</f>
        <v>191.44</v>
      </c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</row>
    <row r="436" spans="1:41">
      <c r="A436" s="8">
        <v>434</v>
      </c>
      <c r="B436" s="8">
        <v>10627</v>
      </c>
      <c r="C436" s="8" t="s">
        <v>605</v>
      </c>
      <c r="D436" s="8" t="s">
        <v>10</v>
      </c>
      <c r="E436" s="2" t="str">
        <f>"198.55"</f>
        <v>198.55</v>
      </c>
      <c r="F436" s="9"/>
      <c r="G436" s="9">
        <v>2017</v>
      </c>
      <c r="H436" s="10" t="str">
        <f>"212.81"</f>
        <v>212.81</v>
      </c>
      <c r="I436" s="10"/>
      <c r="J436" s="10"/>
      <c r="K436" s="10"/>
      <c r="L436" s="10"/>
      <c r="M436" s="10"/>
      <c r="N436" s="10"/>
      <c r="O436" s="10"/>
      <c r="P436" s="10"/>
      <c r="Q436" s="10"/>
      <c r="R436" s="10" t="str">
        <f>"238.36"</f>
        <v>238.36</v>
      </c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 t="str">
        <f>"158.74"</f>
        <v>158.74</v>
      </c>
      <c r="AG436" s="10"/>
      <c r="AH436" s="10"/>
      <c r="AI436" s="10"/>
      <c r="AJ436" s="10"/>
      <c r="AK436" s="10"/>
      <c r="AL436" s="10"/>
      <c r="AM436" s="10"/>
      <c r="AN436" s="10"/>
      <c r="AO436" s="10"/>
    </row>
    <row r="437" spans="1:41">
      <c r="A437" s="8">
        <v>435</v>
      </c>
      <c r="B437" s="8">
        <v>8630</v>
      </c>
      <c r="C437" s="8" t="s">
        <v>606</v>
      </c>
      <c r="D437" s="8" t="s">
        <v>10</v>
      </c>
      <c r="E437" s="2" t="str">
        <f>"199.02"</f>
        <v>199.02</v>
      </c>
      <c r="F437" s="9" t="s">
        <v>11</v>
      </c>
      <c r="G437" s="9">
        <v>2017</v>
      </c>
      <c r="H437" s="10" t="str">
        <f>"159.02"</f>
        <v>159.02</v>
      </c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</row>
    <row r="438" spans="1:41">
      <c r="A438" s="8">
        <v>436</v>
      </c>
      <c r="B438" s="8">
        <v>10408</v>
      </c>
      <c r="C438" s="8" t="s">
        <v>607</v>
      </c>
      <c r="D438" s="8" t="s">
        <v>19</v>
      </c>
      <c r="E438" s="2" t="str">
        <f>"199.36"</f>
        <v>199.36</v>
      </c>
      <c r="F438" s="9"/>
      <c r="G438" s="9">
        <v>2017</v>
      </c>
      <c r="H438" s="10" t="str">
        <f>"343.04"</f>
        <v>343.04</v>
      </c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 t="str">
        <f>"260.54"</f>
        <v>260.54</v>
      </c>
      <c r="AC438" s="10" t="str">
        <f>"245.21"</f>
        <v>245.21</v>
      </c>
      <c r="AD438" s="10" t="str">
        <f>"204.01"</f>
        <v>204.01</v>
      </c>
      <c r="AE438" s="10"/>
      <c r="AF438" s="10"/>
      <c r="AG438" s="10"/>
      <c r="AH438" s="10"/>
      <c r="AI438" s="10"/>
      <c r="AJ438" s="10"/>
      <c r="AK438" s="10"/>
      <c r="AL438" s="10"/>
      <c r="AM438" s="10"/>
      <c r="AN438" s="10" t="str">
        <f>"194.70"</f>
        <v>194.70</v>
      </c>
      <c r="AO438" s="10" t="str">
        <f>"230.71"</f>
        <v>230.71</v>
      </c>
    </row>
    <row r="439" spans="1:41">
      <c r="A439" s="8">
        <v>437</v>
      </c>
      <c r="B439" s="8">
        <v>10944</v>
      </c>
      <c r="C439" s="8" t="s">
        <v>608</v>
      </c>
      <c r="D439" s="8" t="s">
        <v>17</v>
      </c>
      <c r="E439" s="2" t="str">
        <f>"199.50"</f>
        <v>199.50</v>
      </c>
      <c r="F439" s="9"/>
      <c r="G439" s="9">
        <v>2017</v>
      </c>
      <c r="H439" s="10" t="str">
        <f>"269.74"</f>
        <v>269.74</v>
      </c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 t="str">
        <f>"205.03"</f>
        <v>205.03</v>
      </c>
      <c r="AD439" s="10" t="str">
        <f>"193.97"</f>
        <v>193.97</v>
      </c>
      <c r="AE439" s="10"/>
      <c r="AF439" s="10"/>
      <c r="AG439" s="10"/>
      <c r="AH439" s="10"/>
      <c r="AI439" s="10" t="str">
        <f>"207.67"</f>
        <v>207.67</v>
      </c>
      <c r="AJ439" s="10"/>
      <c r="AK439" s="10"/>
      <c r="AL439" s="10"/>
      <c r="AM439" s="10"/>
      <c r="AN439" s="10"/>
      <c r="AO439" s="10"/>
    </row>
    <row r="440" spans="1:41">
      <c r="A440" s="8">
        <v>438</v>
      </c>
      <c r="B440" s="8">
        <v>7161</v>
      </c>
      <c r="C440" s="8" t="s">
        <v>609</v>
      </c>
      <c r="D440" s="8" t="s">
        <v>20</v>
      </c>
      <c r="E440" s="2" t="str">
        <f>"199.96"</f>
        <v>199.96</v>
      </c>
      <c r="F440" s="9"/>
      <c r="G440" s="9">
        <v>2017</v>
      </c>
      <c r="H440" s="10" t="str">
        <f>"257.28"</f>
        <v>257.28</v>
      </c>
      <c r="I440" s="10"/>
      <c r="J440" s="10" t="str">
        <f>"198.38"</f>
        <v>198.38</v>
      </c>
      <c r="K440" s="10"/>
      <c r="L440" s="10" t="str">
        <f>"201.54"</f>
        <v>201.54</v>
      </c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</row>
    <row r="441" spans="1:41">
      <c r="A441" s="8">
        <v>439</v>
      </c>
      <c r="B441" s="8">
        <v>1519</v>
      </c>
      <c r="C441" s="8" t="s">
        <v>610</v>
      </c>
      <c r="D441" s="8" t="s">
        <v>36</v>
      </c>
      <c r="E441" s="2" t="str">
        <f>"200.01"</f>
        <v>200.01</v>
      </c>
      <c r="F441" s="9" t="s">
        <v>9</v>
      </c>
      <c r="G441" s="9">
        <v>2017</v>
      </c>
      <c r="H441" s="10" t="str">
        <f>"260.33"</f>
        <v>260.33</v>
      </c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 t="str">
        <f>"160.01"</f>
        <v>160.01</v>
      </c>
      <c r="AJ441" s="10"/>
      <c r="AK441" s="10"/>
      <c r="AL441" s="10"/>
      <c r="AM441" s="10"/>
      <c r="AN441" s="10"/>
      <c r="AO441" s="10"/>
    </row>
    <row r="442" spans="1:41">
      <c r="A442" s="8">
        <v>440</v>
      </c>
      <c r="B442" s="8">
        <v>3337</v>
      </c>
      <c r="C442" s="8" t="s">
        <v>611</v>
      </c>
      <c r="D442" s="8" t="s">
        <v>52</v>
      </c>
      <c r="E442" s="2" t="str">
        <f>"200.16"</f>
        <v>200.16</v>
      </c>
      <c r="F442" s="9"/>
      <c r="G442" s="9">
        <v>2017</v>
      </c>
      <c r="H442" s="10" t="str">
        <f>"242.82"</f>
        <v>242.82</v>
      </c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 t="str">
        <f>"212.02"</f>
        <v>212.02</v>
      </c>
      <c r="AD442" s="10" t="str">
        <f>"188.29"</f>
        <v>188.29</v>
      </c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</row>
    <row r="443" spans="1:41">
      <c r="A443" s="8">
        <v>441</v>
      </c>
      <c r="B443" s="8">
        <v>10163</v>
      </c>
      <c r="C443" s="8" t="s">
        <v>612</v>
      </c>
      <c r="D443" s="8" t="s">
        <v>10</v>
      </c>
      <c r="E443" s="2" t="str">
        <f>"200.42"</f>
        <v>200.42</v>
      </c>
      <c r="F443" s="9"/>
      <c r="G443" s="9">
        <v>2017</v>
      </c>
      <c r="H443" s="10" t="str">
        <f>"332.26"</f>
        <v>332.26</v>
      </c>
      <c r="I443" s="10"/>
      <c r="J443" s="10"/>
      <c r="K443" s="10"/>
      <c r="L443" s="10"/>
      <c r="M443" s="10"/>
      <c r="N443" s="10"/>
      <c r="O443" s="10"/>
      <c r="P443" s="10"/>
      <c r="Q443" s="10" t="str">
        <f>"238.50"</f>
        <v>238.50</v>
      </c>
      <c r="R443" s="10" t="str">
        <f>"315.95"</f>
        <v>315.95</v>
      </c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 t="str">
        <f>"197.27"</f>
        <v>197.27</v>
      </c>
      <c r="AF443" s="10" t="str">
        <f>"266.32"</f>
        <v>266.32</v>
      </c>
      <c r="AG443" s="10"/>
      <c r="AH443" s="10"/>
      <c r="AI443" s="10"/>
      <c r="AJ443" s="10"/>
      <c r="AK443" s="10"/>
      <c r="AL443" s="10"/>
      <c r="AM443" s="10"/>
      <c r="AN443" s="10" t="str">
        <f>"203.56"</f>
        <v>203.56</v>
      </c>
      <c r="AO443" s="10" t="str">
        <f>"237.49"</f>
        <v>237.49</v>
      </c>
    </row>
    <row r="444" spans="1:41">
      <c r="A444" s="8">
        <v>442</v>
      </c>
      <c r="B444" s="8">
        <v>10618</v>
      </c>
      <c r="C444" s="8" t="s">
        <v>613</v>
      </c>
      <c r="D444" s="8" t="s">
        <v>10</v>
      </c>
      <c r="E444" s="2" t="str">
        <f>"201.24"</f>
        <v>201.24</v>
      </c>
      <c r="F444" s="9"/>
      <c r="G444" s="9">
        <v>2017</v>
      </c>
      <c r="H444" s="10" t="str">
        <f>"163.77"</f>
        <v>163.77</v>
      </c>
      <c r="I444" s="10"/>
      <c r="J444" s="10"/>
      <c r="K444" s="10"/>
      <c r="L444" s="10"/>
      <c r="M444" s="10"/>
      <c r="N444" s="10"/>
      <c r="O444" s="10"/>
      <c r="P444" s="10"/>
      <c r="Q444" s="10"/>
      <c r="R444" s="10" t="str">
        <f>"226.66"</f>
        <v>226.66</v>
      </c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 t="str">
        <f>"175.81"</f>
        <v>175.81</v>
      </c>
      <c r="AG444" s="10"/>
      <c r="AH444" s="10"/>
      <c r="AI444" s="10"/>
      <c r="AJ444" s="10"/>
      <c r="AK444" s="10"/>
      <c r="AL444" s="10"/>
      <c r="AM444" s="10"/>
      <c r="AN444" s="10"/>
      <c r="AO444" s="10"/>
    </row>
    <row r="445" spans="1:41">
      <c r="A445" s="8">
        <v>443</v>
      </c>
      <c r="B445" s="8">
        <v>10901</v>
      </c>
      <c r="C445" s="8" t="s">
        <v>614</v>
      </c>
      <c r="D445" s="8" t="s">
        <v>10</v>
      </c>
      <c r="E445" s="2" t="str">
        <f>"201.40"</f>
        <v>201.40</v>
      </c>
      <c r="F445" s="9"/>
      <c r="G445" s="9">
        <v>2017</v>
      </c>
      <c r="H445" s="10" t="str">
        <f>"376.92"</f>
        <v>376.92</v>
      </c>
      <c r="I445" s="10"/>
      <c r="J445" s="10"/>
      <c r="K445" s="10"/>
      <c r="L445" s="10"/>
      <c r="M445" s="10"/>
      <c r="N445" s="10"/>
      <c r="O445" s="10"/>
      <c r="P445" s="10"/>
      <c r="Q445" s="10" t="str">
        <f>"254.59"</f>
        <v>254.59</v>
      </c>
      <c r="R445" s="10" t="str">
        <f>"306.64"</f>
        <v>306.64</v>
      </c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 t="str">
        <f>"193.01"</f>
        <v>193.01</v>
      </c>
      <c r="AF445" s="10" t="str">
        <f>"209.78"</f>
        <v>209.78</v>
      </c>
      <c r="AG445" s="10"/>
      <c r="AH445" s="10"/>
      <c r="AI445" s="10"/>
      <c r="AJ445" s="10"/>
      <c r="AK445" s="10"/>
      <c r="AL445" s="10"/>
      <c r="AM445" s="10"/>
      <c r="AN445" s="10"/>
      <c r="AO445" s="10"/>
    </row>
    <row r="446" spans="1:41">
      <c r="A446" s="8">
        <v>444</v>
      </c>
      <c r="B446" s="8">
        <v>8088</v>
      </c>
      <c r="C446" s="8" t="s">
        <v>615</v>
      </c>
      <c r="D446" s="8" t="s">
        <v>65</v>
      </c>
      <c r="E446" s="2" t="str">
        <f>"201.42"</f>
        <v>201.42</v>
      </c>
      <c r="F446" s="9"/>
      <c r="G446" s="9">
        <v>2017</v>
      </c>
      <c r="H446" s="10" t="str">
        <f>"394.56"</f>
        <v>394.56</v>
      </c>
      <c r="I446" s="10"/>
      <c r="J446" s="10"/>
      <c r="K446" s="10"/>
      <c r="L446" s="10"/>
      <c r="M446" s="10" t="str">
        <f>"206.50"</f>
        <v>206.50</v>
      </c>
      <c r="N446" s="10"/>
      <c r="O446" s="10" t="str">
        <f>"196.33"</f>
        <v>196.33</v>
      </c>
      <c r="P446" s="10"/>
      <c r="Q446" s="10"/>
      <c r="R446" s="10"/>
      <c r="S446" s="10" t="str">
        <f>"291.01"</f>
        <v>291.01</v>
      </c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</row>
    <row r="447" spans="1:41">
      <c r="A447" s="8">
        <v>445</v>
      </c>
      <c r="B447" s="8">
        <v>10996</v>
      </c>
      <c r="C447" s="8" t="s">
        <v>616</v>
      </c>
      <c r="D447" s="8" t="s">
        <v>617</v>
      </c>
      <c r="E447" s="2" t="str">
        <f>"202.14"</f>
        <v>202.14</v>
      </c>
      <c r="F447" s="9" t="s">
        <v>11</v>
      </c>
      <c r="G447" s="9">
        <v>2017</v>
      </c>
      <c r="H447" s="10" t="str">
        <f>"162.14"</f>
        <v>162.14</v>
      </c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</row>
    <row r="448" spans="1:41">
      <c r="A448" s="8">
        <v>446</v>
      </c>
      <c r="B448" s="8">
        <v>3026</v>
      </c>
      <c r="C448" s="8" t="s">
        <v>618</v>
      </c>
      <c r="D448" s="8" t="s">
        <v>61</v>
      </c>
      <c r="E448" s="2" t="str">
        <f>"202.98"</f>
        <v>202.98</v>
      </c>
      <c r="F448" s="9" t="s">
        <v>11</v>
      </c>
      <c r="G448" s="9">
        <v>2017</v>
      </c>
      <c r="H448" s="10" t="str">
        <f>"162.98"</f>
        <v>162.98</v>
      </c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</row>
    <row r="449" spans="1:41">
      <c r="A449" s="8">
        <v>447</v>
      </c>
      <c r="B449" s="8">
        <v>8267</v>
      </c>
      <c r="C449" s="8" t="s">
        <v>619</v>
      </c>
      <c r="D449" s="8" t="s">
        <v>68</v>
      </c>
      <c r="E449" s="2" t="str">
        <f>"203.08"</f>
        <v>203.08</v>
      </c>
      <c r="F449" s="9" t="s">
        <v>11</v>
      </c>
      <c r="G449" s="9">
        <v>2017</v>
      </c>
      <c r="H449" s="10" t="str">
        <f>"163.08"</f>
        <v>163.08</v>
      </c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</row>
    <row r="450" spans="1:41">
      <c r="A450" s="8">
        <v>448</v>
      </c>
      <c r="B450" s="8">
        <v>823</v>
      </c>
      <c r="C450" s="8" t="s">
        <v>620</v>
      </c>
      <c r="D450" s="8" t="s">
        <v>29</v>
      </c>
      <c r="E450" s="2" t="str">
        <f>"203.22"</f>
        <v>203.22</v>
      </c>
      <c r="F450" s="9"/>
      <c r="G450" s="9">
        <v>2017</v>
      </c>
      <c r="H450" s="10" t="str">
        <f>"213.19"</f>
        <v>213.19</v>
      </c>
      <c r="I450" s="10"/>
      <c r="J450" s="10"/>
      <c r="K450" s="10"/>
      <c r="L450" s="10"/>
      <c r="M450" s="10" t="str">
        <f>"194.26"</f>
        <v>194.26</v>
      </c>
      <c r="N450" s="10"/>
      <c r="O450" s="10" t="str">
        <f>"212.18"</f>
        <v>212.18</v>
      </c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</row>
    <row r="451" spans="1:41">
      <c r="A451" s="8">
        <v>449</v>
      </c>
      <c r="B451" s="8">
        <v>8332</v>
      </c>
      <c r="C451" s="8" t="s">
        <v>621</v>
      </c>
      <c r="D451" s="8" t="s">
        <v>12</v>
      </c>
      <c r="E451" s="2" t="str">
        <f>"203.98"</f>
        <v>203.98</v>
      </c>
      <c r="F451" s="9"/>
      <c r="G451" s="9">
        <v>2017</v>
      </c>
      <c r="H451" s="10" t="str">
        <f>"239.85"</f>
        <v>239.85</v>
      </c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 t="str">
        <f>"193.52"</f>
        <v>193.52</v>
      </c>
      <c r="AK451" s="10"/>
      <c r="AL451" s="10" t="str">
        <f>"214.44"</f>
        <v>214.44</v>
      </c>
      <c r="AM451" s="10"/>
      <c r="AN451" s="10"/>
      <c r="AO451" s="10"/>
    </row>
    <row r="452" spans="1:41">
      <c r="A452" s="8">
        <v>450</v>
      </c>
      <c r="B452" s="8">
        <v>4267</v>
      </c>
      <c r="C452" s="8" t="s">
        <v>622</v>
      </c>
      <c r="D452" s="8" t="s">
        <v>65</v>
      </c>
      <c r="E452" s="2" t="str">
        <f>"204.01"</f>
        <v>204.01</v>
      </c>
      <c r="F452" s="9"/>
      <c r="G452" s="9">
        <v>2017</v>
      </c>
      <c r="H452" s="10" t="str">
        <f>"246.59"</f>
        <v>246.59</v>
      </c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 t="str">
        <f>"238.81"</f>
        <v>238.81</v>
      </c>
      <c r="AD452" s="10" t="str">
        <f>"254.88"</f>
        <v>254.88</v>
      </c>
      <c r="AE452" s="10"/>
      <c r="AF452" s="10"/>
      <c r="AG452" s="10" t="str">
        <f>"169.21"</f>
        <v>169.21</v>
      </c>
      <c r="AH452" s="10" t="str">
        <f>"261.90"</f>
        <v>261.90</v>
      </c>
      <c r="AI452" s="10"/>
      <c r="AJ452" s="10"/>
      <c r="AK452" s="10"/>
      <c r="AL452" s="10"/>
      <c r="AM452" s="10"/>
      <c r="AN452" s="10"/>
      <c r="AO452" s="10"/>
    </row>
    <row r="453" spans="1:41">
      <c r="A453" s="8">
        <v>451</v>
      </c>
      <c r="B453" s="8">
        <v>10722</v>
      </c>
      <c r="C453" s="8" t="s">
        <v>623</v>
      </c>
      <c r="D453" s="8" t="s">
        <v>19</v>
      </c>
      <c r="E453" s="2" t="str">
        <f>"204.02"</f>
        <v>204.02</v>
      </c>
      <c r="F453" s="9"/>
      <c r="G453" s="9">
        <v>2017</v>
      </c>
      <c r="H453" s="10" t="str">
        <f>"359.85"</f>
        <v>359.85</v>
      </c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 t="str">
        <f>"272.61"</f>
        <v>272.61</v>
      </c>
      <c r="AC453" s="10" t="str">
        <f>"245.61"</f>
        <v>245.61</v>
      </c>
      <c r="AD453" s="10" t="str">
        <f>"209.25"</f>
        <v>209.25</v>
      </c>
      <c r="AE453" s="10"/>
      <c r="AF453" s="10"/>
      <c r="AG453" s="10"/>
      <c r="AH453" s="10"/>
      <c r="AI453" s="10" t="str">
        <f>"198.78"</f>
        <v>198.78</v>
      </c>
      <c r="AJ453" s="10"/>
      <c r="AK453" s="10"/>
      <c r="AL453" s="10"/>
      <c r="AM453" s="10" t="str">
        <f>"254.63"</f>
        <v>254.63</v>
      </c>
      <c r="AN453" s="10"/>
      <c r="AO453" s="10"/>
    </row>
    <row r="454" spans="1:41">
      <c r="A454" s="8">
        <v>452</v>
      </c>
      <c r="B454" s="8">
        <v>10404</v>
      </c>
      <c r="C454" s="8" t="s">
        <v>624</v>
      </c>
      <c r="D454" s="8" t="s">
        <v>19</v>
      </c>
      <c r="E454" s="2" t="str">
        <f>"204.18"</f>
        <v>204.18</v>
      </c>
      <c r="F454" s="9"/>
      <c r="G454" s="9">
        <v>2017</v>
      </c>
      <c r="H454" s="10" t="str">
        <f>"372.64"</f>
        <v>372.64</v>
      </c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 t="str">
        <f>"416.64"</f>
        <v>416.64</v>
      </c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 t="str">
        <f>"203.56"</f>
        <v>203.56</v>
      </c>
      <c r="AO454" s="10" t="str">
        <f>"204.79"</f>
        <v>204.79</v>
      </c>
    </row>
    <row r="455" spans="1:41">
      <c r="A455" s="8">
        <v>453</v>
      </c>
      <c r="B455" s="8">
        <v>341</v>
      </c>
      <c r="C455" s="8" t="s">
        <v>625</v>
      </c>
      <c r="D455" s="8" t="s">
        <v>52</v>
      </c>
      <c r="E455" s="2" t="str">
        <f>"204.53"</f>
        <v>204.53</v>
      </c>
      <c r="F455" s="9"/>
      <c r="G455" s="9">
        <v>2017</v>
      </c>
      <c r="H455" s="10" t="str">
        <f>"209.18"</f>
        <v>209.18</v>
      </c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 t="str">
        <f>"211.82"</f>
        <v>211.82</v>
      </c>
      <c r="AD455" s="10" t="str">
        <f>"197.24"</f>
        <v>197.24</v>
      </c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</row>
    <row r="456" spans="1:41">
      <c r="A456" s="8">
        <v>454</v>
      </c>
      <c r="B456" s="8">
        <v>11085</v>
      </c>
      <c r="C456" s="8" t="s">
        <v>626</v>
      </c>
      <c r="D456" s="8" t="s">
        <v>627</v>
      </c>
      <c r="E456" s="2" t="str">
        <f>"204.69"</f>
        <v>204.69</v>
      </c>
      <c r="F456" s="9"/>
      <c r="G456" s="9">
        <v>2017</v>
      </c>
      <c r="H456" s="10" t="str">
        <f>"245.37"</f>
        <v>245.37</v>
      </c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 t="str">
        <f>"234.10"</f>
        <v>234.10</v>
      </c>
      <c r="T456" s="10"/>
      <c r="U456" s="10"/>
      <c r="V456" s="10"/>
      <c r="W456" s="10"/>
      <c r="X456" s="10"/>
      <c r="Y456" s="10"/>
      <c r="Z456" s="10" t="str">
        <f>"175.27"</f>
        <v>175.27</v>
      </c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</row>
    <row r="457" spans="1:41">
      <c r="A457" s="8">
        <v>455</v>
      </c>
      <c r="B457" s="8">
        <v>7481</v>
      </c>
      <c r="C457" s="8" t="s">
        <v>628</v>
      </c>
      <c r="D457" s="8" t="s">
        <v>17</v>
      </c>
      <c r="E457" s="2" t="str">
        <f>"204.70"</f>
        <v>204.70</v>
      </c>
      <c r="F457" s="9"/>
      <c r="G457" s="9">
        <v>2017</v>
      </c>
      <c r="H457" s="10" t="str">
        <f>"248.05"</f>
        <v>248.05</v>
      </c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 t="str">
        <f>"249.66"</f>
        <v>249.66</v>
      </c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 t="str">
        <f>"159.74"</f>
        <v>159.74</v>
      </c>
      <c r="AH457" s="10" t="str">
        <f>"321.43"</f>
        <v>321.43</v>
      </c>
      <c r="AI457" s="10"/>
      <c r="AJ457" s="10"/>
      <c r="AK457" s="10"/>
      <c r="AL457" s="10"/>
      <c r="AM457" s="10"/>
      <c r="AN457" s="10"/>
      <c r="AO457" s="10"/>
    </row>
    <row r="458" spans="1:41">
      <c r="A458" s="8">
        <v>456</v>
      </c>
      <c r="B458" s="8">
        <v>8632</v>
      </c>
      <c r="C458" s="8" t="s">
        <v>629</v>
      </c>
      <c r="D458" s="8" t="s">
        <v>10</v>
      </c>
      <c r="E458" s="2" t="str">
        <f>"204.81"</f>
        <v>204.81</v>
      </c>
      <c r="F458" s="9" t="s">
        <v>9</v>
      </c>
      <c r="G458" s="9">
        <v>2017</v>
      </c>
      <c r="H458" s="10" t="str">
        <f>"141.83"</f>
        <v>141.83</v>
      </c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 t="str">
        <f>"164.81"</f>
        <v>164.81</v>
      </c>
      <c r="AG458" s="10"/>
      <c r="AH458" s="10"/>
      <c r="AI458" s="10"/>
      <c r="AJ458" s="10"/>
      <c r="AK458" s="10"/>
      <c r="AL458" s="10"/>
      <c r="AM458" s="10"/>
      <c r="AN458" s="10"/>
      <c r="AO458" s="10"/>
    </row>
    <row r="459" spans="1:41">
      <c r="A459" s="8">
        <v>457</v>
      </c>
      <c r="B459" s="8">
        <v>4327</v>
      </c>
      <c r="C459" s="8" t="s">
        <v>630</v>
      </c>
      <c r="D459" s="8" t="s">
        <v>92</v>
      </c>
      <c r="E459" s="2" t="str">
        <f>"204.94"</f>
        <v>204.94</v>
      </c>
      <c r="F459" s="9"/>
      <c r="G459" s="9">
        <v>2017</v>
      </c>
      <c r="H459" s="10" t="str">
        <f>"196.47"</f>
        <v>196.47</v>
      </c>
      <c r="I459" s="10"/>
      <c r="J459" s="10"/>
      <c r="K459" s="10"/>
      <c r="L459" s="10"/>
      <c r="M459" s="10" t="str">
        <f>"211.99"</f>
        <v>211.99</v>
      </c>
      <c r="N459" s="10"/>
      <c r="O459" s="10" t="str">
        <f>"230.17"</f>
        <v>230.17</v>
      </c>
      <c r="P459" s="10"/>
      <c r="Q459" s="10"/>
      <c r="R459" s="10"/>
      <c r="S459" s="10"/>
      <c r="T459" s="10" t="str">
        <f>"292.31"</f>
        <v>292.31</v>
      </c>
      <c r="U459" s="10"/>
      <c r="V459" s="10"/>
      <c r="W459" s="10"/>
      <c r="X459" s="10"/>
      <c r="Y459" s="10"/>
      <c r="Z459" s="10" t="str">
        <f>"203.58"</f>
        <v>203.58</v>
      </c>
      <c r="AA459" s="10"/>
      <c r="AB459" s="10"/>
      <c r="AC459" s="10" t="str">
        <f>"300.79"</f>
        <v>300.79</v>
      </c>
      <c r="AD459" s="10" t="str">
        <f>"273.43"</f>
        <v>273.43</v>
      </c>
      <c r="AE459" s="10"/>
      <c r="AF459" s="10"/>
      <c r="AG459" s="10" t="str">
        <f>"206.30"</f>
        <v>206.30</v>
      </c>
      <c r="AH459" s="10" t="str">
        <f>"326.81"</f>
        <v>326.81</v>
      </c>
      <c r="AI459" s="10" t="str">
        <f>"270.95"</f>
        <v>270.95</v>
      </c>
      <c r="AJ459" s="10"/>
      <c r="AK459" s="10"/>
      <c r="AL459" s="10"/>
      <c r="AM459" s="10"/>
      <c r="AN459" s="10"/>
      <c r="AO459" s="10"/>
    </row>
    <row r="460" spans="1:41">
      <c r="A460" s="8">
        <v>458</v>
      </c>
      <c r="B460" s="8">
        <v>3311</v>
      </c>
      <c r="C460" s="8" t="s">
        <v>631</v>
      </c>
      <c r="D460" s="8" t="s">
        <v>65</v>
      </c>
      <c r="E460" s="2" t="str">
        <f>"205.48"</f>
        <v>205.48</v>
      </c>
      <c r="F460" s="9"/>
      <c r="G460" s="9">
        <v>2017</v>
      </c>
      <c r="H460" s="10" t="str">
        <f>"193.82"</f>
        <v>193.82</v>
      </c>
      <c r="I460" s="10"/>
      <c r="J460" s="10"/>
      <c r="K460" s="10"/>
      <c r="L460" s="10" t="str">
        <f>"276.67"</f>
        <v>276.67</v>
      </c>
      <c r="M460" s="10" t="str">
        <f>"199.44"</f>
        <v>199.44</v>
      </c>
      <c r="N460" s="10"/>
      <c r="O460" s="10" t="str">
        <f>"211.52"</f>
        <v>211.52</v>
      </c>
      <c r="P460" s="10"/>
      <c r="Q460" s="10"/>
      <c r="R460" s="10"/>
      <c r="S460" s="10" t="str">
        <f>"278.40"</f>
        <v>278.40</v>
      </c>
      <c r="T460" s="10"/>
      <c r="U460" s="10"/>
      <c r="V460" s="10"/>
      <c r="W460" s="10"/>
      <c r="X460" s="10"/>
      <c r="Y460" s="10"/>
      <c r="Z460" s="10"/>
      <c r="AA460" s="10"/>
      <c r="AB460" s="10"/>
      <c r="AC460" s="10" t="str">
        <f>"242.41"</f>
        <v>242.41</v>
      </c>
      <c r="AD460" s="10" t="str">
        <f>"235.45"</f>
        <v>235.45</v>
      </c>
      <c r="AE460" s="10"/>
      <c r="AF460" s="10"/>
      <c r="AG460" s="10"/>
      <c r="AH460" s="10" t="str">
        <f>"297.48"</f>
        <v>297.48</v>
      </c>
      <c r="AI460" s="10"/>
      <c r="AJ460" s="10"/>
      <c r="AK460" s="10"/>
      <c r="AL460" s="10"/>
      <c r="AM460" s="10"/>
      <c r="AN460" s="10"/>
      <c r="AO460" s="10"/>
    </row>
    <row r="461" spans="1:41">
      <c r="A461" s="8">
        <v>459</v>
      </c>
      <c r="B461" s="8">
        <v>9958</v>
      </c>
      <c r="C461" s="8" t="s">
        <v>632</v>
      </c>
      <c r="D461" s="8" t="s">
        <v>19</v>
      </c>
      <c r="E461" s="2" t="str">
        <f>"205.86"</f>
        <v>205.86</v>
      </c>
      <c r="F461" s="9"/>
      <c r="G461" s="9">
        <v>2017</v>
      </c>
      <c r="H461" s="10" t="str">
        <f>"348.82"</f>
        <v>348.82</v>
      </c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 t="str">
        <f>"250.51"</f>
        <v>250.51</v>
      </c>
      <c r="Z461" s="10"/>
      <c r="AA461" s="10"/>
      <c r="AB461" s="10" t="str">
        <f>"183.69"</f>
        <v>183.69</v>
      </c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 t="str">
        <f>"228.02"</f>
        <v>228.02</v>
      </c>
      <c r="AN461" s="10"/>
      <c r="AO461" s="10"/>
    </row>
    <row r="462" spans="1:41">
      <c r="A462" s="8">
        <v>460</v>
      </c>
      <c r="B462" s="8">
        <v>7836</v>
      </c>
      <c r="C462" s="8" t="s">
        <v>633</v>
      </c>
      <c r="D462" s="8" t="s">
        <v>44</v>
      </c>
      <c r="E462" s="2" t="str">
        <f>"205.93"</f>
        <v>205.93</v>
      </c>
      <c r="F462" s="9"/>
      <c r="G462" s="9">
        <v>2017</v>
      </c>
      <c r="H462" s="10" t="str">
        <f>"190.33"</f>
        <v>190.33</v>
      </c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 t="str">
        <f>"148.42"</f>
        <v>148.42</v>
      </c>
      <c r="AH462" s="10" t="str">
        <f>"263.43"</f>
        <v>263.43</v>
      </c>
      <c r="AI462" s="10"/>
      <c r="AJ462" s="10"/>
      <c r="AK462" s="10"/>
      <c r="AL462" s="10"/>
      <c r="AM462" s="10"/>
      <c r="AN462" s="10"/>
      <c r="AO462" s="10"/>
    </row>
    <row r="463" spans="1:41">
      <c r="A463" s="8">
        <v>461</v>
      </c>
      <c r="B463" s="8">
        <v>7006</v>
      </c>
      <c r="C463" s="8" t="s">
        <v>634</v>
      </c>
      <c r="D463" s="8" t="s">
        <v>75</v>
      </c>
      <c r="E463" s="2" t="str">
        <f>"206.26"</f>
        <v>206.26</v>
      </c>
      <c r="F463" s="9"/>
      <c r="G463" s="9">
        <v>2017</v>
      </c>
      <c r="H463" s="10" t="str">
        <f>"187.02"</f>
        <v>187.02</v>
      </c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 t="str">
        <f>"221.62"</f>
        <v>221.62</v>
      </c>
      <c r="AD463" s="10"/>
      <c r="AE463" s="10"/>
      <c r="AF463" s="10"/>
      <c r="AG463" s="10"/>
      <c r="AH463" s="10"/>
      <c r="AI463" s="10" t="str">
        <f>"190.89"</f>
        <v>190.89</v>
      </c>
      <c r="AJ463" s="10"/>
      <c r="AK463" s="10"/>
      <c r="AL463" s="10"/>
      <c r="AM463" s="10"/>
      <c r="AN463" s="10"/>
      <c r="AO463" s="10"/>
    </row>
    <row r="464" spans="1:41">
      <c r="A464" s="8">
        <v>462</v>
      </c>
      <c r="B464" s="8">
        <v>5111</v>
      </c>
      <c r="C464" s="8" t="s">
        <v>635</v>
      </c>
      <c r="D464" s="8" t="s">
        <v>14</v>
      </c>
      <c r="E464" s="2" t="str">
        <f>"206.58"</f>
        <v>206.58</v>
      </c>
      <c r="F464" s="9" t="s">
        <v>11</v>
      </c>
      <c r="G464" s="9">
        <v>2017</v>
      </c>
      <c r="H464" s="10" t="str">
        <f>"166.58"</f>
        <v>166.58</v>
      </c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</row>
    <row r="465" spans="1:41">
      <c r="A465" s="8">
        <v>463</v>
      </c>
      <c r="B465" s="8">
        <v>9639</v>
      </c>
      <c r="C465" s="8" t="s">
        <v>636</v>
      </c>
      <c r="D465" s="8" t="s">
        <v>75</v>
      </c>
      <c r="E465" s="2" t="str">
        <f>"206.92"</f>
        <v>206.92</v>
      </c>
      <c r="F465" s="9" t="s">
        <v>11</v>
      </c>
      <c r="G465" s="9">
        <v>2017</v>
      </c>
      <c r="H465" s="10" t="str">
        <f>"166.92"</f>
        <v>166.92</v>
      </c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</row>
    <row r="466" spans="1:41">
      <c r="A466" s="8">
        <v>464</v>
      </c>
      <c r="B466" s="8">
        <v>4366</v>
      </c>
      <c r="C466" s="8" t="s">
        <v>637</v>
      </c>
      <c r="D466" s="8" t="s">
        <v>42</v>
      </c>
      <c r="E466" s="2" t="str">
        <f>"207.50"</f>
        <v>207.50</v>
      </c>
      <c r="F466" s="9" t="s">
        <v>11</v>
      </c>
      <c r="G466" s="9">
        <v>2017</v>
      </c>
      <c r="H466" s="10" t="str">
        <f>"167.50"</f>
        <v>167.50</v>
      </c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</row>
    <row r="467" spans="1:41">
      <c r="A467" s="8">
        <v>465</v>
      </c>
      <c r="B467" s="8">
        <v>2769</v>
      </c>
      <c r="C467" s="8" t="s">
        <v>638</v>
      </c>
      <c r="D467" s="8" t="s">
        <v>99</v>
      </c>
      <c r="E467" s="2" t="str">
        <f>"207.51"</f>
        <v>207.51</v>
      </c>
      <c r="F467" s="9"/>
      <c r="G467" s="9">
        <v>2017</v>
      </c>
      <c r="H467" s="10" t="str">
        <f>"208.77"</f>
        <v>208.77</v>
      </c>
      <c r="I467" s="10"/>
      <c r="J467" s="10"/>
      <c r="K467" s="10"/>
      <c r="L467" s="10"/>
      <c r="M467" s="10"/>
      <c r="N467" s="10" t="str">
        <f>"229.38"</f>
        <v>229.38</v>
      </c>
      <c r="O467" s="10"/>
      <c r="P467" s="10" t="str">
        <f>"198.77"</f>
        <v>198.77</v>
      </c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 t="str">
        <f>"237.41"</f>
        <v>237.41</v>
      </c>
      <c r="AD467" s="10" t="str">
        <f>"216.24"</f>
        <v>216.24</v>
      </c>
      <c r="AE467" s="10"/>
      <c r="AF467" s="10"/>
      <c r="AG467" s="10"/>
      <c r="AH467" s="10"/>
      <c r="AI467" s="10" t="str">
        <f>"254.84"</f>
        <v>254.84</v>
      </c>
      <c r="AJ467" s="10"/>
      <c r="AK467" s="10"/>
      <c r="AL467" s="10"/>
      <c r="AM467" s="10"/>
      <c r="AN467" s="10"/>
      <c r="AO467" s="10"/>
    </row>
    <row r="468" spans="1:41">
      <c r="A468" s="8">
        <v>466</v>
      </c>
      <c r="B468" s="8">
        <v>3350</v>
      </c>
      <c r="C468" s="8" t="s">
        <v>639</v>
      </c>
      <c r="D468" s="8" t="s">
        <v>27</v>
      </c>
      <c r="E468" s="2" t="str">
        <f>"207.69"</f>
        <v>207.69</v>
      </c>
      <c r="F468" s="9"/>
      <c r="G468" s="9">
        <v>2017</v>
      </c>
      <c r="H468" s="10" t="str">
        <f>"240.96"</f>
        <v>240.96</v>
      </c>
      <c r="I468" s="10"/>
      <c r="J468" s="10"/>
      <c r="K468" s="10"/>
      <c r="L468" s="10"/>
      <c r="M468" s="10" t="str">
        <f>"215.91"</f>
        <v>215.91</v>
      </c>
      <c r="N468" s="10"/>
      <c r="O468" s="10" t="str">
        <f>"254.44"</f>
        <v>254.44</v>
      </c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 t="str">
        <f>"237.37"</f>
        <v>237.37</v>
      </c>
      <c r="AA468" s="10"/>
      <c r="AB468" s="10"/>
      <c r="AC468" s="10"/>
      <c r="AD468" s="10"/>
      <c r="AE468" s="10"/>
      <c r="AF468" s="10"/>
      <c r="AG468" s="10" t="str">
        <f>"199.47"</f>
        <v>199.47</v>
      </c>
      <c r="AH468" s="10" t="str">
        <f>"309.79"</f>
        <v>309.79</v>
      </c>
      <c r="AI468" s="10"/>
      <c r="AJ468" s="10"/>
      <c r="AK468" s="10"/>
      <c r="AL468" s="10"/>
      <c r="AM468" s="10"/>
      <c r="AN468" s="10"/>
      <c r="AO468" s="10"/>
    </row>
    <row r="469" spans="1:41">
      <c r="A469" s="8">
        <v>467</v>
      </c>
      <c r="B469" s="8">
        <v>3314</v>
      </c>
      <c r="C469" s="8" t="s">
        <v>640</v>
      </c>
      <c r="D469" s="8" t="s">
        <v>28</v>
      </c>
      <c r="E469" s="2" t="str">
        <f>"208.18"</f>
        <v>208.18</v>
      </c>
      <c r="F469" s="9"/>
      <c r="G469" s="9">
        <v>2017</v>
      </c>
      <c r="H469" s="10" t="str">
        <f>"247.50"</f>
        <v>247.50</v>
      </c>
      <c r="I469" s="10"/>
      <c r="J469" s="10" t="str">
        <f>"208.97"</f>
        <v>208.97</v>
      </c>
      <c r="K469" s="10"/>
      <c r="L469" s="10" t="str">
        <f>"246.48"</f>
        <v>246.48</v>
      </c>
      <c r="M469" s="10" t="str">
        <f>"231.91"</f>
        <v>231.91</v>
      </c>
      <c r="N469" s="10"/>
      <c r="O469" s="10" t="str">
        <f>"207.39"</f>
        <v>207.39</v>
      </c>
      <c r="P469" s="10"/>
      <c r="Q469" s="10"/>
      <c r="R469" s="10"/>
      <c r="S469" s="10" t="str">
        <f>"273.77"</f>
        <v>273.77</v>
      </c>
      <c r="T469" s="10"/>
      <c r="U469" s="10"/>
      <c r="V469" s="10"/>
      <c r="W469" s="10"/>
      <c r="X469" s="10"/>
      <c r="Y469" s="10"/>
      <c r="Z469" s="10"/>
      <c r="AA469" s="10"/>
      <c r="AB469" s="10"/>
      <c r="AC469" s="10" t="str">
        <f>"231.62"</f>
        <v>231.62</v>
      </c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</row>
    <row r="470" spans="1:41">
      <c r="A470" s="8">
        <v>468</v>
      </c>
      <c r="B470" s="8">
        <v>10645</v>
      </c>
      <c r="C470" s="8" t="s">
        <v>641</v>
      </c>
      <c r="D470" s="8" t="s">
        <v>10</v>
      </c>
      <c r="E470" s="2" t="str">
        <f>"209.13"</f>
        <v>209.13</v>
      </c>
      <c r="F470" s="9" t="s">
        <v>11</v>
      </c>
      <c r="G470" s="9">
        <v>2017</v>
      </c>
      <c r="H470" s="10" t="str">
        <f>"169.13"</f>
        <v>169.13</v>
      </c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</row>
    <row r="471" spans="1:41">
      <c r="A471" s="8">
        <v>469</v>
      </c>
      <c r="B471" s="8">
        <v>4611</v>
      </c>
      <c r="C471" s="8" t="s">
        <v>642</v>
      </c>
      <c r="D471" s="8" t="s">
        <v>42</v>
      </c>
      <c r="E471" s="2" t="str">
        <f>"209.85"</f>
        <v>209.85</v>
      </c>
      <c r="F471" s="9"/>
      <c r="G471" s="9">
        <v>2017</v>
      </c>
      <c r="H471" s="10"/>
      <c r="I471" s="10"/>
      <c r="J471" s="10"/>
      <c r="K471" s="10"/>
      <c r="L471" s="10"/>
      <c r="M471" s="10" t="str">
        <f>"215.44"</f>
        <v>215.44</v>
      </c>
      <c r="N471" s="10"/>
      <c r="O471" s="10" t="str">
        <f>"204.26"</f>
        <v>204.26</v>
      </c>
      <c r="P471" s="10"/>
      <c r="Q471" s="10"/>
      <c r="R471" s="10"/>
      <c r="S471" s="10"/>
      <c r="T471" s="10" t="str">
        <f>"303.70"</f>
        <v>303.70</v>
      </c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 t="str">
        <f>"240.34"</f>
        <v>240.34</v>
      </c>
      <c r="AK471" s="10"/>
      <c r="AL471" s="10"/>
      <c r="AM471" s="10"/>
      <c r="AN471" s="10"/>
      <c r="AO471" s="10"/>
    </row>
    <row r="472" spans="1:41">
      <c r="A472" s="8">
        <v>470</v>
      </c>
      <c r="B472" s="8">
        <v>5159</v>
      </c>
      <c r="C472" s="8" t="s">
        <v>643</v>
      </c>
      <c r="D472" s="8" t="s">
        <v>10</v>
      </c>
      <c r="E472" s="2" t="str">
        <f>"210.01"</f>
        <v>210.01</v>
      </c>
      <c r="F472" s="9" t="s">
        <v>9</v>
      </c>
      <c r="G472" s="9">
        <v>2017</v>
      </c>
      <c r="H472" s="10" t="str">
        <f>"119.23"</f>
        <v>119.23</v>
      </c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 t="str">
        <f>"170.01"</f>
        <v>170.01</v>
      </c>
      <c r="AM472" s="10"/>
      <c r="AN472" s="10"/>
      <c r="AO472" s="10"/>
    </row>
    <row r="473" spans="1:41">
      <c r="A473" s="8">
        <v>471</v>
      </c>
      <c r="B473" s="8">
        <v>11128</v>
      </c>
      <c r="C473" s="8" t="s">
        <v>644</v>
      </c>
      <c r="D473" s="8" t="s">
        <v>19</v>
      </c>
      <c r="E473" s="2" t="str">
        <f>"210.04"</f>
        <v>210.04</v>
      </c>
      <c r="F473" s="9"/>
      <c r="G473" s="9">
        <v>2017</v>
      </c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 t="str">
        <f>"266.85"</f>
        <v>266.85</v>
      </c>
      <c r="AC473" s="10" t="str">
        <f>"229.82"</f>
        <v>229.82</v>
      </c>
      <c r="AD473" s="10" t="str">
        <f>"190.26"</f>
        <v>190.26</v>
      </c>
      <c r="AE473" s="10"/>
      <c r="AF473" s="10"/>
      <c r="AG473" s="10"/>
      <c r="AH473" s="10"/>
      <c r="AI473" s="10"/>
      <c r="AJ473" s="10"/>
      <c r="AK473" s="10"/>
      <c r="AL473" s="10"/>
      <c r="AM473" s="10" t="str">
        <f>"249.40"</f>
        <v>249.40</v>
      </c>
      <c r="AN473" s="10"/>
      <c r="AO473" s="10"/>
    </row>
    <row r="474" spans="1:41">
      <c r="A474" s="8">
        <v>472</v>
      </c>
      <c r="B474" s="8">
        <v>2331</v>
      </c>
      <c r="C474" s="8" t="s">
        <v>645</v>
      </c>
      <c r="D474" s="8" t="s">
        <v>10</v>
      </c>
      <c r="E474" s="2" t="str">
        <f>"210.11"</f>
        <v>210.11</v>
      </c>
      <c r="F474" s="9" t="s">
        <v>11</v>
      </c>
      <c r="G474" s="9">
        <v>2017</v>
      </c>
      <c r="H474" s="10" t="str">
        <f>"170.11"</f>
        <v>170.11</v>
      </c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</row>
    <row r="475" spans="1:41">
      <c r="A475" s="8">
        <v>473</v>
      </c>
      <c r="B475" s="8">
        <v>2356</v>
      </c>
      <c r="C475" s="8" t="s">
        <v>646</v>
      </c>
      <c r="D475" s="8" t="s">
        <v>10</v>
      </c>
      <c r="E475" s="2" t="str">
        <f>"210.28"</f>
        <v>210.28</v>
      </c>
      <c r="F475" s="9" t="s">
        <v>11</v>
      </c>
      <c r="G475" s="9">
        <v>2017</v>
      </c>
      <c r="H475" s="10" t="str">
        <f>"170.28"</f>
        <v>170.28</v>
      </c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</row>
    <row r="476" spans="1:41">
      <c r="A476" s="8">
        <v>474</v>
      </c>
      <c r="B476" s="8">
        <v>2116</v>
      </c>
      <c r="C476" s="8" t="s">
        <v>647</v>
      </c>
      <c r="D476" s="8" t="s">
        <v>33</v>
      </c>
      <c r="E476" s="2" t="str">
        <f>"210.48"</f>
        <v>210.48</v>
      </c>
      <c r="F476" s="9"/>
      <c r="G476" s="9">
        <v>2017</v>
      </c>
      <c r="H476" s="10" t="str">
        <f>"232.22"</f>
        <v>232.22</v>
      </c>
      <c r="I476" s="10"/>
      <c r="J476" s="10"/>
      <c r="K476" s="10"/>
      <c r="L476" s="10"/>
      <c r="M476" s="10" t="str">
        <f>"216.54"</f>
        <v>216.54</v>
      </c>
      <c r="N476" s="10"/>
      <c r="O476" s="10" t="str">
        <f>"204.42"</f>
        <v>204.42</v>
      </c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</row>
    <row r="477" spans="1:41">
      <c r="A477" s="8">
        <v>475</v>
      </c>
      <c r="B477" s="8">
        <v>9143</v>
      </c>
      <c r="C477" s="8" t="s">
        <v>648</v>
      </c>
      <c r="D477" s="8" t="s">
        <v>22</v>
      </c>
      <c r="E477" s="2" t="str">
        <f>"210.56"</f>
        <v>210.56</v>
      </c>
      <c r="F477" s="9"/>
      <c r="G477" s="9">
        <v>2017</v>
      </c>
      <c r="H477" s="10" t="str">
        <f>"145.70"</f>
        <v>145.70</v>
      </c>
      <c r="I477" s="10"/>
      <c r="J477" s="10"/>
      <c r="K477" s="10"/>
      <c r="L477" s="10"/>
      <c r="M477" s="10"/>
      <c r="N477" s="10"/>
      <c r="O477" s="10" t="str">
        <f>"167.94"</f>
        <v>167.94</v>
      </c>
      <c r="P477" s="10"/>
      <c r="Q477" s="10"/>
      <c r="R477" s="10"/>
      <c r="S477" s="10" t="str">
        <f>"253.17"</f>
        <v>253.17</v>
      </c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</row>
    <row r="478" spans="1:41">
      <c r="A478" s="8">
        <v>476</v>
      </c>
      <c r="B478" s="8">
        <v>5359</v>
      </c>
      <c r="C478" s="8" t="s">
        <v>649</v>
      </c>
      <c r="D478" s="8" t="s">
        <v>12</v>
      </c>
      <c r="E478" s="2" t="str">
        <f>"210.69"</f>
        <v>210.69</v>
      </c>
      <c r="F478" s="9"/>
      <c r="G478" s="9">
        <v>2017</v>
      </c>
      <c r="H478" s="10" t="str">
        <f>"212.03"</f>
        <v>212.03</v>
      </c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 t="str">
        <f>"189.50"</f>
        <v>189.50</v>
      </c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 t="str">
        <f>"231.88"</f>
        <v>231.88</v>
      </c>
      <c r="AM478" s="10"/>
      <c r="AN478" s="10"/>
      <c r="AO478" s="10"/>
    </row>
    <row r="479" spans="1:41">
      <c r="A479" s="8">
        <v>477</v>
      </c>
      <c r="B479" s="8">
        <v>6842</v>
      </c>
      <c r="C479" s="8" t="s">
        <v>650</v>
      </c>
      <c r="D479" s="8" t="s">
        <v>78</v>
      </c>
      <c r="E479" s="2" t="str">
        <f>"210.78"</f>
        <v>210.78</v>
      </c>
      <c r="F479" s="9"/>
      <c r="G479" s="9">
        <v>2017</v>
      </c>
      <c r="H479" s="10" t="str">
        <f>"237.86"</f>
        <v>237.86</v>
      </c>
      <c r="I479" s="10"/>
      <c r="J479" s="10"/>
      <c r="K479" s="10"/>
      <c r="L479" s="10"/>
      <c r="M479" s="10"/>
      <c r="N479" s="10" t="str">
        <f>"233.22"</f>
        <v>233.22</v>
      </c>
      <c r="O479" s="10"/>
      <c r="P479" s="10" t="str">
        <f>"212.89"</f>
        <v>212.89</v>
      </c>
      <c r="Q479" s="10"/>
      <c r="R479" s="10"/>
      <c r="S479" s="10"/>
      <c r="T479" s="10" t="str">
        <f>"229.20"</f>
        <v>229.20</v>
      </c>
      <c r="U479" s="10"/>
      <c r="V479" s="10"/>
      <c r="W479" s="10"/>
      <c r="X479" s="10"/>
      <c r="Y479" s="10"/>
      <c r="Z479" s="10"/>
      <c r="AA479" s="10" t="str">
        <f>"208.67"</f>
        <v>208.67</v>
      </c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</row>
    <row r="480" spans="1:41">
      <c r="A480" s="8">
        <v>478</v>
      </c>
      <c r="B480" s="8">
        <v>8361</v>
      </c>
      <c r="C480" s="8" t="s">
        <v>651</v>
      </c>
      <c r="D480" s="8" t="s">
        <v>19</v>
      </c>
      <c r="E480" s="2" t="str">
        <f>"211.54"</f>
        <v>211.54</v>
      </c>
      <c r="F480" s="9" t="s">
        <v>11</v>
      </c>
      <c r="G480" s="9">
        <v>2017</v>
      </c>
      <c r="H480" s="10" t="str">
        <f>"171.54"</f>
        <v>171.54</v>
      </c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</row>
    <row r="481" spans="1:41">
      <c r="A481" s="8">
        <v>479</v>
      </c>
      <c r="B481" s="8">
        <v>5162</v>
      </c>
      <c r="C481" s="8" t="s">
        <v>652</v>
      </c>
      <c r="D481" s="8" t="s">
        <v>653</v>
      </c>
      <c r="E481" s="2" t="str">
        <f>"211.74"</f>
        <v>211.74</v>
      </c>
      <c r="F481" s="9"/>
      <c r="G481" s="9">
        <v>2017</v>
      </c>
      <c r="H481" s="10" t="str">
        <f>"188.02"</f>
        <v>188.02</v>
      </c>
      <c r="I481" s="10"/>
      <c r="J481" s="10"/>
      <c r="K481" s="10"/>
      <c r="L481" s="10"/>
      <c r="M481" s="10" t="str">
        <f>"199.75"</f>
        <v>199.75</v>
      </c>
      <c r="N481" s="10"/>
      <c r="O481" s="10" t="str">
        <f>"223.73"</f>
        <v>223.73</v>
      </c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</row>
    <row r="482" spans="1:41">
      <c r="A482" s="8">
        <v>480</v>
      </c>
      <c r="B482" s="8">
        <v>10167</v>
      </c>
      <c r="C482" s="8" t="s">
        <v>654</v>
      </c>
      <c r="D482" s="8" t="s">
        <v>10</v>
      </c>
      <c r="E482" s="2" t="str">
        <f>"211.75"</f>
        <v>211.75</v>
      </c>
      <c r="F482" s="9"/>
      <c r="G482" s="9">
        <v>2017</v>
      </c>
      <c r="H482" s="10" t="str">
        <f>"334.72"</f>
        <v>334.72</v>
      </c>
      <c r="I482" s="10"/>
      <c r="J482" s="10"/>
      <c r="K482" s="10"/>
      <c r="L482" s="10"/>
      <c r="M482" s="10"/>
      <c r="N482" s="10"/>
      <c r="O482" s="10"/>
      <c r="P482" s="10"/>
      <c r="Q482" s="10" t="str">
        <f>"285.81"</f>
        <v>285.81</v>
      </c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 t="str">
        <f>"235.31"</f>
        <v>235.31</v>
      </c>
      <c r="AF482" s="10" t="str">
        <f>"253.99"</f>
        <v>253.99</v>
      </c>
      <c r="AG482" s="10"/>
      <c r="AH482" s="10"/>
      <c r="AI482" s="10"/>
      <c r="AJ482" s="10"/>
      <c r="AK482" s="10"/>
      <c r="AL482" s="10"/>
      <c r="AM482" s="10"/>
      <c r="AN482" s="10" t="str">
        <f>"206.47"</f>
        <v>206.47</v>
      </c>
      <c r="AO482" s="10" t="str">
        <f>"217.02"</f>
        <v>217.02</v>
      </c>
    </row>
    <row r="483" spans="1:41">
      <c r="A483" s="8">
        <v>481</v>
      </c>
      <c r="B483" s="8">
        <v>3662</v>
      </c>
      <c r="C483" s="8" t="s">
        <v>655</v>
      </c>
      <c r="D483" s="8" t="s">
        <v>64</v>
      </c>
      <c r="E483" s="2" t="str">
        <f>"212.50"</f>
        <v>212.50</v>
      </c>
      <c r="F483" s="9"/>
      <c r="G483" s="9">
        <v>2017</v>
      </c>
      <c r="H483" s="10" t="str">
        <f>"242.49"</f>
        <v>242.49</v>
      </c>
      <c r="I483" s="10"/>
      <c r="J483" s="10"/>
      <c r="K483" s="10"/>
      <c r="L483" s="10"/>
      <c r="M483" s="10"/>
      <c r="N483" s="10" t="str">
        <f>"202.49"</f>
        <v>202.49</v>
      </c>
      <c r="O483" s="10"/>
      <c r="P483" s="10"/>
      <c r="Q483" s="10"/>
      <c r="R483" s="10"/>
      <c r="S483" s="10"/>
      <c r="T483" s="10" t="str">
        <f>"248.91"</f>
        <v>248.91</v>
      </c>
      <c r="U483" s="10"/>
      <c r="V483" s="10"/>
      <c r="W483" s="10"/>
      <c r="X483" s="10"/>
      <c r="Y483" s="10"/>
      <c r="Z483" s="10"/>
      <c r="AA483" s="10" t="str">
        <f>"222.50"</f>
        <v>222.50</v>
      </c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</row>
    <row r="484" spans="1:41">
      <c r="A484" s="8">
        <v>482</v>
      </c>
      <c r="B484" s="8">
        <v>10096</v>
      </c>
      <c r="C484" s="8" t="s">
        <v>656</v>
      </c>
      <c r="D484" s="8" t="s">
        <v>49</v>
      </c>
      <c r="E484" s="2" t="str">
        <f>"212.52"</f>
        <v>212.52</v>
      </c>
      <c r="F484" s="9"/>
      <c r="G484" s="9">
        <v>2017</v>
      </c>
      <c r="H484" s="10" t="str">
        <f>"240.74"</f>
        <v>240.74</v>
      </c>
      <c r="I484" s="10" t="str">
        <f>"205.47"</f>
        <v>205.47</v>
      </c>
      <c r="J484" s="10"/>
      <c r="K484" s="10" t="str">
        <f>"219.57"</f>
        <v>219.57</v>
      </c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</row>
    <row r="485" spans="1:41">
      <c r="A485" s="8">
        <v>483</v>
      </c>
      <c r="B485" s="8">
        <v>2279</v>
      </c>
      <c r="C485" s="8" t="s">
        <v>657</v>
      </c>
      <c r="D485" s="8" t="s">
        <v>42</v>
      </c>
      <c r="E485" s="2" t="str">
        <f>"212.76"</f>
        <v>212.76</v>
      </c>
      <c r="F485" s="9" t="s">
        <v>9</v>
      </c>
      <c r="G485" s="9">
        <v>2017</v>
      </c>
      <c r="H485" s="10" t="str">
        <f>"166.69"</f>
        <v>166.69</v>
      </c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 t="str">
        <f>"172.76"</f>
        <v>172.76</v>
      </c>
      <c r="AJ485" s="10"/>
      <c r="AK485" s="10"/>
      <c r="AL485" s="10"/>
      <c r="AM485" s="10"/>
      <c r="AN485" s="10"/>
      <c r="AO485" s="10"/>
    </row>
    <row r="486" spans="1:41">
      <c r="A486" s="8">
        <v>484</v>
      </c>
      <c r="B486" s="8">
        <v>10461</v>
      </c>
      <c r="C486" s="8" t="s">
        <v>658</v>
      </c>
      <c r="D486" s="8" t="s">
        <v>19</v>
      </c>
      <c r="E486" s="2" t="str">
        <f>"212.76"</f>
        <v>212.76</v>
      </c>
      <c r="F486" s="9"/>
      <c r="G486" s="9">
        <v>2017</v>
      </c>
      <c r="H486" s="10" t="str">
        <f>"357.12"</f>
        <v>357.12</v>
      </c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 t="str">
        <f>"447.53"</f>
        <v>447.53</v>
      </c>
      <c r="AI486" s="10"/>
      <c r="AJ486" s="10" t="str">
        <f>"244.67"</f>
        <v>244.67</v>
      </c>
      <c r="AK486" s="10"/>
      <c r="AL486" s="10"/>
      <c r="AM486" s="10"/>
      <c r="AN486" s="10" t="str">
        <f>"230.03"</f>
        <v>230.03</v>
      </c>
      <c r="AO486" s="10" t="str">
        <f>"195.49"</f>
        <v>195.49</v>
      </c>
    </row>
    <row r="487" spans="1:41">
      <c r="A487" s="8">
        <v>485</v>
      </c>
      <c r="B487" s="8">
        <v>10955</v>
      </c>
      <c r="C487" s="8" t="s">
        <v>659</v>
      </c>
      <c r="D487" s="8" t="s">
        <v>19</v>
      </c>
      <c r="E487" s="2" t="str">
        <f>"213.29"</f>
        <v>213.29</v>
      </c>
      <c r="F487" s="9" t="s">
        <v>9</v>
      </c>
      <c r="G487" s="9">
        <v>2017</v>
      </c>
      <c r="H487" s="10" t="str">
        <f>"184.35"</f>
        <v>184.35</v>
      </c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 t="str">
        <f>"173.29"</f>
        <v>173.29</v>
      </c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</row>
    <row r="488" spans="1:41">
      <c r="A488" s="8">
        <v>486</v>
      </c>
      <c r="B488" s="8">
        <v>11132</v>
      </c>
      <c r="C488" s="8" t="s">
        <v>660</v>
      </c>
      <c r="D488" s="8" t="s">
        <v>19</v>
      </c>
      <c r="E488" s="2" t="str">
        <f>"213.32"</f>
        <v>213.32</v>
      </c>
      <c r="F488" s="9"/>
      <c r="G488" s="9">
        <v>2017</v>
      </c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 t="str">
        <f>"245.23"</f>
        <v>245.23</v>
      </c>
      <c r="W488" s="10"/>
      <c r="X488" s="10"/>
      <c r="Y488" s="10" t="str">
        <f>"272.89"</f>
        <v>272.89</v>
      </c>
      <c r="Z488" s="10"/>
      <c r="AA488" s="10"/>
      <c r="AB488" s="10" t="str">
        <f>"258.50"</f>
        <v>258.50</v>
      </c>
      <c r="AC488" s="10" t="str">
        <f>"213.02"</f>
        <v>213.02</v>
      </c>
      <c r="AD488" s="10" t="str">
        <f>"213.62"</f>
        <v>213.62</v>
      </c>
      <c r="AE488" s="10"/>
      <c r="AF488" s="10"/>
      <c r="AG488" s="10"/>
      <c r="AH488" s="10"/>
      <c r="AI488" s="10"/>
      <c r="AJ488" s="10"/>
      <c r="AK488" s="10"/>
      <c r="AL488" s="10"/>
      <c r="AM488" s="10" t="str">
        <f>"266.74"</f>
        <v>266.74</v>
      </c>
      <c r="AN488" s="10"/>
      <c r="AO488" s="10"/>
    </row>
    <row r="489" spans="1:41">
      <c r="A489" s="8">
        <v>487</v>
      </c>
      <c r="B489" s="8">
        <v>1487</v>
      </c>
      <c r="C489" s="8" t="s">
        <v>661</v>
      </c>
      <c r="D489" s="8" t="s">
        <v>662</v>
      </c>
      <c r="E489" s="2" t="str">
        <f>"213.57"</f>
        <v>213.57</v>
      </c>
      <c r="F489" s="9" t="s">
        <v>9</v>
      </c>
      <c r="G489" s="9">
        <v>2017</v>
      </c>
      <c r="H489" s="10" t="str">
        <f>"203.04"</f>
        <v>203.04</v>
      </c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 t="str">
        <f>"173.57"</f>
        <v>173.57</v>
      </c>
      <c r="AM489" s="10"/>
      <c r="AN489" s="10"/>
      <c r="AO489" s="10"/>
    </row>
    <row r="490" spans="1:41">
      <c r="A490" s="8">
        <v>488</v>
      </c>
      <c r="B490" s="8">
        <v>3177</v>
      </c>
      <c r="C490" s="8" t="s">
        <v>663</v>
      </c>
      <c r="D490" s="8" t="s">
        <v>97</v>
      </c>
      <c r="E490" s="2" t="str">
        <f>"213.72"</f>
        <v>213.72</v>
      </c>
      <c r="F490" s="9" t="s">
        <v>9</v>
      </c>
      <c r="G490" s="9">
        <v>2017</v>
      </c>
      <c r="H490" s="10" t="str">
        <f>"151.66"</f>
        <v>151.66</v>
      </c>
      <c r="I490" s="10"/>
      <c r="J490" s="10"/>
      <c r="K490" s="10"/>
      <c r="L490" s="10"/>
      <c r="M490" s="10"/>
      <c r="N490" s="10"/>
      <c r="O490" s="10" t="str">
        <f>"173.72"</f>
        <v>173.72</v>
      </c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</row>
    <row r="491" spans="1:41">
      <c r="A491" s="8">
        <v>489</v>
      </c>
      <c r="B491" s="8">
        <v>10454</v>
      </c>
      <c r="C491" s="8" t="s">
        <v>664</v>
      </c>
      <c r="D491" s="8" t="s">
        <v>19</v>
      </c>
      <c r="E491" s="2" t="str">
        <f>"214.03"</f>
        <v>214.03</v>
      </c>
      <c r="F491" s="9"/>
      <c r="G491" s="9">
        <v>2017</v>
      </c>
      <c r="H491" s="10" t="str">
        <f>"347.53"</f>
        <v>347.53</v>
      </c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 t="str">
        <f>"308.60"</f>
        <v>308.60</v>
      </c>
      <c r="Z491" s="10"/>
      <c r="AA491" s="10"/>
      <c r="AB491" s="10" t="str">
        <f>"287.27"</f>
        <v>287.27</v>
      </c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 t="str">
        <f>"197.47"</f>
        <v>197.47</v>
      </c>
      <c r="AO491" s="10" t="str">
        <f>"230.58"</f>
        <v>230.58</v>
      </c>
    </row>
    <row r="492" spans="1:41">
      <c r="A492" s="8">
        <v>490</v>
      </c>
      <c r="B492" s="8">
        <v>2192</v>
      </c>
      <c r="C492" s="8" t="s">
        <v>665</v>
      </c>
      <c r="D492" s="8" t="s">
        <v>10</v>
      </c>
      <c r="E492" s="2" t="str">
        <f>"214.09"</f>
        <v>214.09</v>
      </c>
      <c r="F492" s="9"/>
      <c r="G492" s="9">
        <v>2017</v>
      </c>
      <c r="H492" s="10" t="str">
        <f>"254.02"</f>
        <v>254.02</v>
      </c>
      <c r="I492" s="10"/>
      <c r="J492" s="10"/>
      <c r="K492" s="10"/>
      <c r="L492" s="10"/>
      <c r="M492" s="10"/>
      <c r="N492" s="10"/>
      <c r="O492" s="10"/>
      <c r="P492" s="10"/>
      <c r="Q492" s="10" t="str">
        <f>"190.64"</f>
        <v>190.64</v>
      </c>
      <c r="R492" s="10" t="str">
        <f>"241.49"</f>
        <v>241.49</v>
      </c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 t="str">
        <f>"237.54"</f>
        <v>237.54</v>
      </c>
      <c r="AF492" s="10" t="str">
        <f>"294.21"</f>
        <v>294.21</v>
      </c>
      <c r="AG492" s="10"/>
      <c r="AH492" s="10"/>
      <c r="AI492" s="10"/>
      <c r="AJ492" s="10"/>
      <c r="AK492" s="10"/>
      <c r="AL492" s="10"/>
      <c r="AM492" s="10"/>
      <c r="AN492" s="10"/>
      <c r="AO492" s="10"/>
    </row>
    <row r="493" spans="1:41">
      <c r="A493" s="8">
        <v>491</v>
      </c>
      <c r="B493" s="8">
        <v>7594</v>
      </c>
      <c r="C493" s="8" t="s">
        <v>666</v>
      </c>
      <c r="D493" s="8" t="s">
        <v>33</v>
      </c>
      <c r="E493" s="2" t="str">
        <f>"214.10"</f>
        <v>214.10</v>
      </c>
      <c r="F493" s="9"/>
      <c r="G493" s="9">
        <v>2017</v>
      </c>
      <c r="H493" s="10" t="str">
        <f>"216.45"</f>
        <v>216.45</v>
      </c>
      <c r="I493" s="10"/>
      <c r="J493" s="10"/>
      <c r="K493" s="10"/>
      <c r="L493" s="10"/>
      <c r="M493" s="10"/>
      <c r="N493" s="10" t="str">
        <f>"256.14"</f>
        <v>256.14</v>
      </c>
      <c r="O493" s="10"/>
      <c r="P493" s="10" t="str">
        <f>"209.88"</f>
        <v>209.88</v>
      </c>
      <c r="Q493" s="10"/>
      <c r="R493" s="10"/>
      <c r="S493" s="10"/>
      <c r="T493" s="10" t="str">
        <f>"281.68"</f>
        <v>281.68</v>
      </c>
      <c r="U493" s="10"/>
      <c r="V493" s="10"/>
      <c r="W493" s="10"/>
      <c r="X493" s="10"/>
      <c r="Y493" s="10"/>
      <c r="Z493" s="10"/>
      <c r="AA493" s="10" t="str">
        <f>"218.32"</f>
        <v>218.32</v>
      </c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</row>
    <row r="494" spans="1:41">
      <c r="A494" s="8">
        <v>492</v>
      </c>
      <c r="B494" s="8">
        <v>2400</v>
      </c>
      <c r="C494" s="8" t="s">
        <v>667</v>
      </c>
      <c r="D494" s="8" t="s">
        <v>12</v>
      </c>
      <c r="E494" s="2" t="str">
        <f>"214.39"</f>
        <v>214.39</v>
      </c>
      <c r="F494" s="9"/>
      <c r="G494" s="9">
        <v>2017</v>
      </c>
      <c r="H494" s="10"/>
      <c r="I494" s="10"/>
      <c r="J494" s="10"/>
      <c r="K494" s="10"/>
      <c r="L494" s="10"/>
      <c r="M494" s="10"/>
      <c r="N494" s="10" t="str">
        <f>"233.91"</f>
        <v>233.91</v>
      </c>
      <c r="O494" s="10"/>
      <c r="P494" s="10" t="str">
        <f>"194.86"</f>
        <v>194.86</v>
      </c>
      <c r="Q494" s="10"/>
      <c r="R494" s="10"/>
      <c r="S494" s="10"/>
      <c r="T494" s="10" t="str">
        <f>"239.18"</f>
        <v>239.18</v>
      </c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</row>
    <row r="495" spans="1:41">
      <c r="A495" s="8">
        <v>493</v>
      </c>
      <c r="B495" s="8">
        <v>7864</v>
      </c>
      <c r="C495" s="8" t="s">
        <v>668</v>
      </c>
      <c r="D495" s="8" t="s">
        <v>59</v>
      </c>
      <c r="E495" s="2" t="str">
        <f>"214.72"</f>
        <v>214.72</v>
      </c>
      <c r="F495" s="9" t="s">
        <v>11</v>
      </c>
      <c r="G495" s="9">
        <v>2017</v>
      </c>
      <c r="H495" s="10" t="str">
        <f>"174.72"</f>
        <v>174.72</v>
      </c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</row>
    <row r="496" spans="1:41">
      <c r="A496" s="8">
        <v>494</v>
      </c>
      <c r="B496" s="8">
        <v>2188</v>
      </c>
      <c r="C496" s="8" t="s">
        <v>669</v>
      </c>
      <c r="D496" s="8" t="s">
        <v>52</v>
      </c>
      <c r="E496" s="2" t="str">
        <f>"214.76"</f>
        <v>214.76</v>
      </c>
      <c r="F496" s="9"/>
      <c r="G496" s="9">
        <v>2017</v>
      </c>
      <c r="H496" s="10" t="str">
        <f>"145.56"</f>
        <v>145.56</v>
      </c>
      <c r="I496" s="10"/>
      <c r="J496" s="10"/>
      <c r="K496" s="10"/>
      <c r="L496" s="10"/>
      <c r="M496" s="10"/>
      <c r="N496" s="10"/>
      <c r="O496" s="10"/>
      <c r="P496" s="10" t="str">
        <f>"227.01"</f>
        <v>227.01</v>
      </c>
      <c r="Q496" s="10"/>
      <c r="R496" s="10"/>
      <c r="S496" s="10"/>
      <c r="T496" s="10" t="str">
        <f>"259.66"</f>
        <v>259.66</v>
      </c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 t="str">
        <f>"202.50"</f>
        <v>202.50</v>
      </c>
      <c r="AH496" s="10"/>
      <c r="AI496" s="10"/>
      <c r="AJ496" s="10"/>
      <c r="AK496" s="10"/>
      <c r="AL496" s="10"/>
      <c r="AM496" s="10"/>
      <c r="AN496" s="10"/>
      <c r="AO496" s="10"/>
    </row>
    <row r="497" spans="1:41">
      <c r="A497" s="8">
        <v>495</v>
      </c>
      <c r="B497" s="8">
        <v>8481</v>
      </c>
      <c r="C497" s="8" t="s">
        <v>670</v>
      </c>
      <c r="D497" s="8" t="s">
        <v>10</v>
      </c>
      <c r="E497" s="2" t="str">
        <f>"214.86"</f>
        <v>214.86</v>
      </c>
      <c r="F497" s="9" t="s">
        <v>9</v>
      </c>
      <c r="G497" s="9">
        <v>2017</v>
      </c>
      <c r="H497" s="10" t="str">
        <f>"148.64"</f>
        <v>148.64</v>
      </c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 t="str">
        <f>"174.86"</f>
        <v>174.86</v>
      </c>
      <c r="AG497" s="10"/>
      <c r="AH497" s="10"/>
      <c r="AI497" s="10"/>
      <c r="AJ497" s="10"/>
      <c r="AK497" s="10"/>
      <c r="AL497" s="10"/>
      <c r="AM497" s="10"/>
      <c r="AN497" s="10"/>
      <c r="AO497" s="10"/>
    </row>
    <row r="498" spans="1:41">
      <c r="A498" s="8">
        <v>496</v>
      </c>
      <c r="B498" s="8">
        <v>4054</v>
      </c>
      <c r="C498" s="8" t="s">
        <v>671</v>
      </c>
      <c r="D498" s="8" t="s">
        <v>51</v>
      </c>
      <c r="E498" s="2" t="str">
        <f>"215.57"</f>
        <v>215.57</v>
      </c>
      <c r="F498" s="9"/>
      <c r="G498" s="9">
        <v>2017</v>
      </c>
      <c r="H498" s="10" t="str">
        <f>"199.85"</f>
        <v>199.85</v>
      </c>
      <c r="I498" s="10"/>
      <c r="J498" s="10"/>
      <c r="K498" s="10"/>
      <c r="L498" s="10"/>
      <c r="M498" s="10"/>
      <c r="N498" s="10" t="str">
        <f>"207.43"</f>
        <v>207.43</v>
      </c>
      <c r="O498" s="10"/>
      <c r="P498" s="10" t="str">
        <f>"223.70"</f>
        <v>223.70</v>
      </c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</row>
    <row r="499" spans="1:41">
      <c r="A499" s="8">
        <v>497</v>
      </c>
      <c r="B499" s="8">
        <v>1546</v>
      </c>
      <c r="C499" s="8" t="s">
        <v>672</v>
      </c>
      <c r="D499" s="8" t="s">
        <v>99</v>
      </c>
      <c r="E499" s="2" t="str">
        <f>"215.69"</f>
        <v>215.69</v>
      </c>
      <c r="F499" s="9"/>
      <c r="G499" s="9">
        <v>2017</v>
      </c>
      <c r="H499" s="10" t="str">
        <f>"172.48"</f>
        <v>172.48</v>
      </c>
      <c r="I499" s="10"/>
      <c r="J499" s="10"/>
      <c r="K499" s="10"/>
      <c r="L499" s="10"/>
      <c r="M499" s="10" t="str">
        <f>"236.93"</f>
        <v>236.93</v>
      </c>
      <c r="N499" s="10"/>
      <c r="O499" s="10" t="str">
        <f>"214.49"</f>
        <v>214.49</v>
      </c>
      <c r="P499" s="10"/>
      <c r="Q499" s="10"/>
      <c r="R499" s="10"/>
      <c r="S499" s="10"/>
      <c r="T499" s="10" t="str">
        <f>"279.12"</f>
        <v>279.12</v>
      </c>
      <c r="U499" s="10"/>
      <c r="V499" s="10"/>
      <c r="W499" s="10"/>
      <c r="X499" s="10"/>
      <c r="Y499" s="10"/>
      <c r="Z499" s="10" t="str">
        <f>"216.88"</f>
        <v>216.88</v>
      </c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</row>
    <row r="500" spans="1:41">
      <c r="A500" s="8">
        <v>498</v>
      </c>
      <c r="B500" s="8">
        <v>3195</v>
      </c>
      <c r="C500" s="8" t="s">
        <v>673</v>
      </c>
      <c r="D500" s="8" t="s">
        <v>254</v>
      </c>
      <c r="E500" s="2" t="str">
        <f>"215.96"</f>
        <v>215.96</v>
      </c>
      <c r="F500" s="9"/>
      <c r="G500" s="9">
        <v>2017</v>
      </c>
      <c r="H500" s="10" t="str">
        <f>"209.90"</f>
        <v>209.90</v>
      </c>
      <c r="I500" s="10"/>
      <c r="J500" s="10"/>
      <c r="K500" s="10"/>
      <c r="L500" s="10"/>
      <c r="M500" s="10" t="str">
        <f>"218.57"</f>
        <v>218.57</v>
      </c>
      <c r="N500" s="10"/>
      <c r="O500" s="10" t="str">
        <f>"213.34"</f>
        <v>213.34</v>
      </c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 t="str">
        <f>"226.89"</f>
        <v>226.89</v>
      </c>
      <c r="AA500" s="10"/>
      <c r="AB500" s="10"/>
      <c r="AC500" s="10" t="str">
        <f>"236.61"</f>
        <v>236.61</v>
      </c>
      <c r="AD500" s="10" t="str">
        <f>"291.34"</f>
        <v>291.34</v>
      </c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</row>
    <row r="501" spans="1:41">
      <c r="A501" s="8">
        <v>499</v>
      </c>
      <c r="B501" s="8">
        <v>11412</v>
      </c>
      <c r="C501" s="8" t="s">
        <v>674</v>
      </c>
      <c r="D501" s="8" t="s">
        <v>63</v>
      </c>
      <c r="E501" s="2" t="str">
        <f>"216.03"</f>
        <v>216.03</v>
      </c>
      <c r="F501" s="9"/>
      <c r="G501" s="9">
        <v>2017</v>
      </c>
      <c r="H501" s="10"/>
      <c r="I501" s="10"/>
      <c r="J501" s="10"/>
      <c r="K501" s="10"/>
      <c r="L501" s="10"/>
      <c r="M501" s="10"/>
      <c r="N501" s="10"/>
      <c r="O501" s="10"/>
      <c r="P501" s="10" t="str">
        <f>"227.31"</f>
        <v>227.31</v>
      </c>
      <c r="Q501" s="10"/>
      <c r="R501" s="10"/>
      <c r="S501" s="10"/>
      <c r="T501" s="10" t="str">
        <f>"216.91"</f>
        <v>216.91</v>
      </c>
      <c r="U501" s="10"/>
      <c r="V501" s="10"/>
      <c r="W501" s="10"/>
      <c r="X501" s="10"/>
      <c r="Y501" s="10"/>
      <c r="Z501" s="10"/>
      <c r="AA501" s="10" t="str">
        <f>"215.15"</f>
        <v>215.15</v>
      </c>
      <c r="AB501" s="10"/>
      <c r="AC501" s="10"/>
      <c r="AD501" s="10"/>
      <c r="AE501" s="10"/>
      <c r="AF501" s="10"/>
      <c r="AG501" s="10"/>
      <c r="AH501" s="10"/>
      <c r="AI501" s="10" t="str">
        <f>"242.75"</f>
        <v>242.75</v>
      </c>
      <c r="AJ501" s="10"/>
      <c r="AK501" s="10"/>
      <c r="AL501" s="10"/>
      <c r="AM501" s="10"/>
      <c r="AN501" s="10"/>
      <c r="AO501" s="10"/>
    </row>
    <row r="502" spans="1:41">
      <c r="A502" s="8">
        <v>500</v>
      </c>
      <c r="B502" s="8">
        <v>8465</v>
      </c>
      <c r="C502" s="8" t="s">
        <v>675</v>
      </c>
      <c r="D502" s="8" t="s">
        <v>10</v>
      </c>
      <c r="E502" s="2" t="str">
        <f>"216.53"</f>
        <v>216.53</v>
      </c>
      <c r="F502" s="9" t="s">
        <v>9</v>
      </c>
      <c r="G502" s="9">
        <v>2017</v>
      </c>
      <c r="H502" s="10" t="str">
        <f>"159.30"</f>
        <v>159.30</v>
      </c>
      <c r="I502" s="10"/>
      <c r="J502" s="10"/>
      <c r="K502" s="10"/>
      <c r="L502" s="10"/>
      <c r="M502" s="10"/>
      <c r="N502" s="10"/>
      <c r="O502" s="10"/>
      <c r="P502" s="10"/>
      <c r="Q502" s="10"/>
      <c r="R502" s="10" t="str">
        <f>"176.53"</f>
        <v>176.53</v>
      </c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</row>
    <row r="503" spans="1:41">
      <c r="A503" s="8">
        <v>501</v>
      </c>
      <c r="B503" s="8">
        <v>3681</v>
      </c>
      <c r="C503" s="8" t="s">
        <v>676</v>
      </c>
      <c r="D503" s="8" t="s">
        <v>58</v>
      </c>
      <c r="E503" s="2" t="str">
        <f>"216.57"</f>
        <v>216.57</v>
      </c>
      <c r="F503" s="9" t="s">
        <v>11</v>
      </c>
      <c r="G503" s="9">
        <v>2017</v>
      </c>
      <c r="H503" s="10" t="str">
        <f>"176.57"</f>
        <v>176.57</v>
      </c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</row>
    <row r="504" spans="1:41">
      <c r="A504" s="8">
        <v>502</v>
      </c>
      <c r="B504" s="8">
        <v>11240</v>
      </c>
      <c r="C504" s="8" t="s">
        <v>677</v>
      </c>
      <c r="D504" s="8" t="s">
        <v>10</v>
      </c>
      <c r="E504" s="2" t="str">
        <f>"216.79"</f>
        <v>216.79</v>
      </c>
      <c r="F504" s="9"/>
      <c r="G504" s="9">
        <v>2017</v>
      </c>
      <c r="H504" s="10"/>
      <c r="I504" s="10"/>
      <c r="J504" s="10"/>
      <c r="K504" s="10"/>
      <c r="L504" s="10"/>
      <c r="M504" s="10"/>
      <c r="N504" s="10"/>
      <c r="O504" s="10"/>
      <c r="P504" s="10"/>
      <c r="Q504" s="10" t="str">
        <f>"321.40"</f>
        <v>321.40</v>
      </c>
      <c r="R504" s="10" t="str">
        <f>"375.38"</f>
        <v>375.38</v>
      </c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 t="str">
        <f>"204.47"</f>
        <v>204.47</v>
      </c>
      <c r="AF504" s="10"/>
      <c r="AG504" s="10"/>
      <c r="AH504" s="10"/>
      <c r="AI504" s="10"/>
      <c r="AJ504" s="10"/>
      <c r="AK504" s="10"/>
      <c r="AL504" s="10"/>
      <c r="AM504" s="10"/>
      <c r="AN504" s="10" t="str">
        <f>"229.10"</f>
        <v>229.10</v>
      </c>
      <c r="AO504" s="10"/>
    </row>
    <row r="505" spans="1:41">
      <c r="A505" s="8">
        <v>503</v>
      </c>
      <c r="B505" s="8">
        <v>2237</v>
      </c>
      <c r="C505" s="8" t="s">
        <v>678</v>
      </c>
      <c r="D505" s="8" t="s">
        <v>17</v>
      </c>
      <c r="E505" s="2" t="str">
        <f>"216.86"</f>
        <v>216.86</v>
      </c>
      <c r="F505" s="9" t="s">
        <v>11</v>
      </c>
      <c r="G505" s="9">
        <v>2017</v>
      </c>
      <c r="H505" s="10" t="str">
        <f>"176.86"</f>
        <v>176.86</v>
      </c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</row>
    <row r="506" spans="1:41">
      <c r="A506" s="8">
        <v>504</v>
      </c>
      <c r="B506" s="8">
        <v>4167</v>
      </c>
      <c r="C506" s="8" t="s">
        <v>679</v>
      </c>
      <c r="D506" s="8" t="s">
        <v>66</v>
      </c>
      <c r="E506" s="2" t="str">
        <f>"216.87"</f>
        <v>216.87</v>
      </c>
      <c r="F506" s="9" t="s">
        <v>11</v>
      </c>
      <c r="G506" s="9">
        <v>2017</v>
      </c>
      <c r="H506" s="10" t="str">
        <f>"176.87"</f>
        <v>176.87</v>
      </c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</row>
    <row r="507" spans="1:41">
      <c r="A507" s="8">
        <v>505</v>
      </c>
      <c r="B507" s="8">
        <v>3552</v>
      </c>
      <c r="C507" s="8" t="s">
        <v>680</v>
      </c>
      <c r="D507" s="8" t="s">
        <v>653</v>
      </c>
      <c r="E507" s="2" t="str">
        <f>"216.95"</f>
        <v>216.95</v>
      </c>
      <c r="F507" s="9"/>
      <c r="G507" s="9">
        <v>2017</v>
      </c>
      <c r="H507" s="10" t="str">
        <f>"269.92"</f>
        <v>269.92</v>
      </c>
      <c r="I507" s="10"/>
      <c r="J507" s="10"/>
      <c r="K507" s="10"/>
      <c r="L507" s="10"/>
      <c r="M507" s="10"/>
      <c r="N507" s="10" t="str">
        <f>"208.39"</f>
        <v>208.39</v>
      </c>
      <c r="O507" s="10"/>
      <c r="P507" s="10" t="str">
        <f>"225.51"</f>
        <v>225.51</v>
      </c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</row>
    <row r="508" spans="1:41">
      <c r="A508" s="8">
        <v>506</v>
      </c>
      <c r="B508" s="8">
        <v>10715</v>
      </c>
      <c r="C508" s="8" t="s">
        <v>681</v>
      </c>
      <c r="D508" s="8" t="s">
        <v>49</v>
      </c>
      <c r="E508" s="2" t="str">
        <f>"217.61"</f>
        <v>217.61</v>
      </c>
      <c r="F508" s="9" t="s">
        <v>9</v>
      </c>
      <c r="G508" s="9">
        <v>2017</v>
      </c>
      <c r="H508" s="10" t="str">
        <f>"197.15"</f>
        <v>197.15</v>
      </c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 t="str">
        <f>"177.61"</f>
        <v>177.61</v>
      </c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</row>
    <row r="509" spans="1:41">
      <c r="A509" s="8">
        <v>507</v>
      </c>
      <c r="B509" s="8">
        <v>2543</v>
      </c>
      <c r="C509" s="8" t="s">
        <v>682</v>
      </c>
      <c r="D509" s="8" t="s">
        <v>275</v>
      </c>
      <c r="E509" s="2" t="str">
        <f>"218.00"</f>
        <v>218.00</v>
      </c>
      <c r="F509" s="9" t="s">
        <v>9</v>
      </c>
      <c r="G509" s="9">
        <v>2017</v>
      </c>
      <c r="H509" s="10" t="str">
        <f>"206.41"</f>
        <v>206.41</v>
      </c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 t="str">
        <f>"178.00"</f>
        <v>178.00</v>
      </c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</row>
    <row r="510" spans="1:41">
      <c r="A510" s="8">
        <v>508</v>
      </c>
      <c r="B510" s="8">
        <v>2625</v>
      </c>
      <c r="C510" s="8" t="s">
        <v>683</v>
      </c>
      <c r="D510" s="8" t="s">
        <v>81</v>
      </c>
      <c r="E510" s="2" t="str">
        <f>"218.42"</f>
        <v>218.42</v>
      </c>
      <c r="F510" s="9"/>
      <c r="G510" s="9">
        <v>2017</v>
      </c>
      <c r="H510" s="10" t="str">
        <f>"218.18"</f>
        <v>218.18</v>
      </c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 t="str">
        <f>"242.09"</f>
        <v>242.09</v>
      </c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 t="str">
        <f>"194.75"</f>
        <v>194.75</v>
      </c>
      <c r="AJ510" s="10"/>
      <c r="AK510" s="10"/>
      <c r="AL510" s="10"/>
      <c r="AM510" s="10"/>
      <c r="AN510" s="10"/>
      <c r="AO510" s="10"/>
    </row>
    <row r="511" spans="1:41">
      <c r="A511" s="8">
        <v>509</v>
      </c>
      <c r="B511" s="8">
        <v>127</v>
      </c>
      <c r="C511" s="8" t="s">
        <v>684</v>
      </c>
      <c r="D511" s="8" t="s">
        <v>336</v>
      </c>
      <c r="E511" s="2" t="str">
        <f>"218.44"</f>
        <v>218.44</v>
      </c>
      <c r="F511" s="9"/>
      <c r="G511" s="9">
        <v>2017</v>
      </c>
      <c r="H511" s="10" t="str">
        <f>"193.91"</f>
        <v>193.91</v>
      </c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 t="str">
        <f>"236.81"</f>
        <v>236.81</v>
      </c>
      <c r="AD511" s="10" t="str">
        <f>"273.43"</f>
        <v>273.43</v>
      </c>
      <c r="AE511" s="10"/>
      <c r="AF511" s="10"/>
      <c r="AG511" s="10" t="str">
        <f>"200.06"</f>
        <v>200.06</v>
      </c>
      <c r="AH511" s="10" t="str">
        <f>"296.06"</f>
        <v>296.06</v>
      </c>
      <c r="AI511" s="10"/>
      <c r="AJ511" s="10"/>
      <c r="AK511" s="10"/>
      <c r="AL511" s="10"/>
      <c r="AM511" s="10"/>
      <c r="AN511" s="10"/>
      <c r="AO511" s="10"/>
    </row>
    <row r="512" spans="1:41">
      <c r="A512" s="8">
        <v>510</v>
      </c>
      <c r="B512" s="8">
        <v>7171</v>
      </c>
      <c r="C512" s="8" t="s">
        <v>685</v>
      </c>
      <c r="D512" s="8" t="s">
        <v>42</v>
      </c>
      <c r="E512" s="2" t="str">
        <f>"218.54"</f>
        <v>218.54</v>
      </c>
      <c r="F512" s="9" t="s">
        <v>11</v>
      </c>
      <c r="G512" s="9">
        <v>2017</v>
      </c>
      <c r="H512" s="10" t="str">
        <f>"178.54"</f>
        <v>178.54</v>
      </c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</row>
    <row r="513" spans="1:41">
      <c r="A513" s="8">
        <v>511</v>
      </c>
      <c r="B513" s="8">
        <v>2482</v>
      </c>
      <c r="C513" s="8" t="s">
        <v>686</v>
      </c>
      <c r="D513" s="8" t="s">
        <v>422</v>
      </c>
      <c r="E513" s="2" t="str">
        <f>"218.64"</f>
        <v>218.64</v>
      </c>
      <c r="F513" s="9" t="s">
        <v>9</v>
      </c>
      <c r="G513" s="9">
        <v>2017</v>
      </c>
      <c r="H513" s="10" t="str">
        <f>"160.15"</f>
        <v>160.15</v>
      </c>
      <c r="I513" s="10"/>
      <c r="J513" s="10"/>
      <c r="K513" s="10"/>
      <c r="L513" s="10"/>
      <c r="M513" s="10"/>
      <c r="N513" s="10"/>
      <c r="O513" s="10"/>
      <c r="P513" s="10" t="str">
        <f>"178.64"</f>
        <v>178.64</v>
      </c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</row>
    <row r="514" spans="1:41">
      <c r="A514" s="8">
        <v>512</v>
      </c>
      <c r="B514" s="8">
        <v>9341</v>
      </c>
      <c r="C514" s="8" t="s">
        <v>687</v>
      </c>
      <c r="D514" s="8" t="s">
        <v>254</v>
      </c>
      <c r="E514" s="2" t="str">
        <f>"218.71"</f>
        <v>218.71</v>
      </c>
      <c r="F514" s="9"/>
      <c r="G514" s="9">
        <v>2017</v>
      </c>
      <c r="H514" s="10" t="str">
        <f>"357.87"</f>
        <v>357.87</v>
      </c>
      <c r="I514" s="10"/>
      <c r="J514" s="10"/>
      <c r="K514" s="10"/>
      <c r="L514" s="10"/>
      <c r="M514" s="10" t="str">
        <f>"245.87"</f>
        <v>245.87</v>
      </c>
      <c r="N514" s="10"/>
      <c r="O514" s="10" t="str">
        <f>"191.55"</f>
        <v>191.55</v>
      </c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 t="str">
        <f>"256.63"</f>
        <v>256.63</v>
      </c>
      <c r="AM514" s="10"/>
      <c r="AN514" s="10"/>
      <c r="AO514" s="10"/>
    </row>
    <row r="515" spans="1:41">
      <c r="A515" s="8">
        <v>513</v>
      </c>
      <c r="B515" s="8">
        <v>10350</v>
      </c>
      <c r="C515" s="8" t="s">
        <v>688</v>
      </c>
      <c r="D515" s="8" t="s">
        <v>38</v>
      </c>
      <c r="E515" s="2" t="str">
        <f>"219.58"</f>
        <v>219.58</v>
      </c>
      <c r="F515" s="9" t="s">
        <v>11</v>
      </c>
      <c r="G515" s="9">
        <v>2017</v>
      </c>
      <c r="H515" s="10" t="str">
        <f>"179.58"</f>
        <v>179.58</v>
      </c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</row>
    <row r="516" spans="1:41">
      <c r="A516" s="8">
        <v>514</v>
      </c>
      <c r="B516" s="8">
        <v>8352</v>
      </c>
      <c r="C516" s="8" t="s">
        <v>689</v>
      </c>
      <c r="D516" s="8" t="s">
        <v>12</v>
      </c>
      <c r="E516" s="2" t="str">
        <f>"219.69"</f>
        <v>219.69</v>
      </c>
      <c r="F516" s="9"/>
      <c r="G516" s="9">
        <v>2017</v>
      </c>
      <c r="H516" s="10" t="str">
        <f>"210.92"</f>
        <v>210.92</v>
      </c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 t="str">
        <f>"237.77"</f>
        <v>237.77</v>
      </c>
      <c r="V516" s="10"/>
      <c r="W516" s="10"/>
      <c r="X516" s="10" t="str">
        <f>"201.60"</f>
        <v>201.60</v>
      </c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</row>
    <row r="517" spans="1:41">
      <c r="A517" s="8">
        <v>515</v>
      </c>
      <c r="B517" s="8">
        <v>10709</v>
      </c>
      <c r="C517" s="8" t="s">
        <v>690</v>
      </c>
      <c r="D517" s="8" t="s">
        <v>10</v>
      </c>
      <c r="E517" s="2" t="str">
        <f>"220.03"</f>
        <v>220.03</v>
      </c>
      <c r="F517" s="9"/>
      <c r="G517" s="9">
        <v>2017</v>
      </c>
      <c r="H517" s="10" t="str">
        <f>"227.62"</f>
        <v>227.62</v>
      </c>
      <c r="I517" s="10"/>
      <c r="J517" s="10"/>
      <c r="K517" s="10"/>
      <c r="L517" s="10"/>
      <c r="M517" s="10"/>
      <c r="N517" s="10"/>
      <c r="O517" s="10"/>
      <c r="P517" s="10"/>
      <c r="Q517" s="10" t="str">
        <f>"217.91"</f>
        <v>217.91</v>
      </c>
      <c r="R517" s="10" t="str">
        <f>"222.14"</f>
        <v>222.14</v>
      </c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</row>
    <row r="518" spans="1:41">
      <c r="A518" s="8">
        <v>516</v>
      </c>
      <c r="B518" s="8">
        <v>820</v>
      </c>
      <c r="C518" s="8" t="s">
        <v>691</v>
      </c>
      <c r="D518" s="8" t="s">
        <v>692</v>
      </c>
      <c r="E518" s="2" t="str">
        <f>"220.29"</f>
        <v>220.29</v>
      </c>
      <c r="F518" s="9"/>
      <c r="G518" s="9">
        <v>2017</v>
      </c>
      <c r="H518" s="10" t="str">
        <f>"224.54"</f>
        <v>224.54</v>
      </c>
      <c r="I518" s="10"/>
      <c r="J518" s="10"/>
      <c r="K518" s="10"/>
      <c r="L518" s="10"/>
      <c r="M518" s="10"/>
      <c r="N518" s="10" t="str">
        <f>"206.06"</f>
        <v>206.06</v>
      </c>
      <c r="O518" s="10"/>
      <c r="P518" s="10" t="str">
        <f>"234.52"</f>
        <v>234.52</v>
      </c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</row>
    <row r="519" spans="1:41">
      <c r="A519" s="8">
        <v>517</v>
      </c>
      <c r="B519" s="8">
        <v>4595</v>
      </c>
      <c r="C519" s="8" t="s">
        <v>693</v>
      </c>
      <c r="D519" s="8" t="s">
        <v>54</v>
      </c>
      <c r="E519" s="2" t="str">
        <f>"220.47"</f>
        <v>220.47</v>
      </c>
      <c r="F519" s="9"/>
      <c r="G519" s="9">
        <v>2017</v>
      </c>
      <c r="H519" s="10" t="str">
        <f>"261.75"</f>
        <v>261.75</v>
      </c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 t="str">
        <f>"248.17"</f>
        <v>248.17</v>
      </c>
      <c r="AI519" s="10"/>
      <c r="AJ519" s="10" t="str">
        <f>"192.77"</f>
        <v>192.77</v>
      </c>
      <c r="AK519" s="10"/>
      <c r="AL519" s="10"/>
      <c r="AM519" s="10"/>
      <c r="AN519" s="10"/>
      <c r="AO519" s="10"/>
    </row>
    <row r="520" spans="1:41">
      <c r="A520" s="8">
        <v>518</v>
      </c>
      <c r="B520" s="8">
        <v>6124</v>
      </c>
      <c r="C520" s="8" t="s">
        <v>694</v>
      </c>
      <c r="D520" s="8" t="s">
        <v>14</v>
      </c>
      <c r="E520" s="2" t="str">
        <f>"220.50"</f>
        <v>220.50</v>
      </c>
      <c r="F520" s="9"/>
      <c r="G520" s="9">
        <v>2017</v>
      </c>
      <c r="H520" s="10" t="str">
        <f>"229.28"</f>
        <v>229.28</v>
      </c>
      <c r="I520" s="10"/>
      <c r="J520" s="10"/>
      <c r="K520" s="10"/>
      <c r="L520" s="10"/>
      <c r="M520" s="10" t="str">
        <f>"218.26"</f>
        <v>218.26</v>
      </c>
      <c r="N520" s="10"/>
      <c r="O520" s="10" t="str">
        <f>"222.74"</f>
        <v>222.74</v>
      </c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 t="str">
        <f>"234.02"</f>
        <v>234.02</v>
      </c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</row>
    <row r="521" spans="1:41">
      <c r="A521" s="8">
        <v>519</v>
      </c>
      <c r="B521" s="8">
        <v>10188</v>
      </c>
      <c r="C521" s="8" t="s">
        <v>695</v>
      </c>
      <c r="D521" s="8" t="s">
        <v>10</v>
      </c>
      <c r="E521" s="2" t="str">
        <f>"220.97"</f>
        <v>220.97</v>
      </c>
      <c r="F521" s="9"/>
      <c r="G521" s="9">
        <v>2017</v>
      </c>
      <c r="H521" s="10" t="str">
        <f>"319.64"</f>
        <v>319.64</v>
      </c>
      <c r="I521" s="10"/>
      <c r="J521" s="10"/>
      <c r="K521" s="10"/>
      <c r="L521" s="10"/>
      <c r="M521" s="10"/>
      <c r="N521" s="10"/>
      <c r="O521" s="10"/>
      <c r="P521" s="10"/>
      <c r="Q521" s="10" t="str">
        <f>"258.41"</f>
        <v>258.41</v>
      </c>
      <c r="R521" s="10" t="str">
        <f>"315.03"</f>
        <v>315.03</v>
      </c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 t="str">
        <f>"217.86"</f>
        <v>217.86</v>
      </c>
      <c r="AF521" s="10" t="str">
        <f>"234.82"</f>
        <v>234.82</v>
      </c>
      <c r="AG521" s="10"/>
      <c r="AH521" s="10"/>
      <c r="AI521" s="10"/>
      <c r="AJ521" s="10"/>
      <c r="AK521" s="10"/>
      <c r="AL521" s="10"/>
      <c r="AM521" s="10"/>
      <c r="AN521" s="10" t="str">
        <f>"236.25"</f>
        <v>236.25</v>
      </c>
      <c r="AO521" s="10" t="str">
        <f>"224.07"</f>
        <v>224.07</v>
      </c>
    </row>
    <row r="522" spans="1:41">
      <c r="A522" s="8">
        <v>520</v>
      </c>
      <c r="B522" s="8">
        <v>10297</v>
      </c>
      <c r="C522" s="8" t="s">
        <v>696</v>
      </c>
      <c r="D522" s="8" t="s">
        <v>12</v>
      </c>
      <c r="E522" s="2" t="str">
        <f>"221.28"</f>
        <v>221.28</v>
      </c>
      <c r="F522" s="9"/>
      <c r="G522" s="9">
        <v>2017</v>
      </c>
      <c r="H522" s="10" t="str">
        <f>"321.00"</f>
        <v>321.00</v>
      </c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 t="str">
        <f>"223.96"</f>
        <v>223.96</v>
      </c>
      <c r="V522" s="10"/>
      <c r="W522" s="10"/>
      <c r="X522" s="10" t="str">
        <f>"218.59"</f>
        <v>218.59</v>
      </c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</row>
    <row r="523" spans="1:41">
      <c r="A523" s="8">
        <v>521</v>
      </c>
      <c r="B523" s="8">
        <v>5386</v>
      </c>
      <c r="C523" s="8" t="s">
        <v>697</v>
      </c>
      <c r="D523" s="8" t="s">
        <v>49</v>
      </c>
      <c r="E523" s="2" t="str">
        <f>"221.49"</f>
        <v>221.49</v>
      </c>
      <c r="F523" s="9" t="s">
        <v>11</v>
      </c>
      <c r="G523" s="9">
        <v>2017</v>
      </c>
      <c r="H523" s="10" t="str">
        <f>"181.49"</f>
        <v>181.49</v>
      </c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</row>
    <row r="524" spans="1:41">
      <c r="A524" s="8">
        <v>522</v>
      </c>
      <c r="B524" s="8">
        <v>2317</v>
      </c>
      <c r="C524" s="8" t="s">
        <v>698</v>
      </c>
      <c r="D524" s="8" t="s">
        <v>10</v>
      </c>
      <c r="E524" s="2" t="str">
        <f>"221.59"</f>
        <v>221.59</v>
      </c>
      <c r="F524" s="9" t="s">
        <v>9</v>
      </c>
      <c r="G524" s="9">
        <v>2017</v>
      </c>
      <c r="H524" s="10" t="str">
        <f>"188.46"</f>
        <v>188.46</v>
      </c>
      <c r="I524" s="10"/>
      <c r="J524" s="10"/>
      <c r="K524" s="10"/>
      <c r="L524" s="10"/>
      <c r="M524" s="10"/>
      <c r="N524" s="10"/>
      <c r="O524" s="10"/>
      <c r="P524" s="10"/>
      <c r="Q524" s="10"/>
      <c r="R524" s="10" t="str">
        <f>"181.59"</f>
        <v>181.59</v>
      </c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</row>
    <row r="525" spans="1:41">
      <c r="A525" s="8">
        <v>523</v>
      </c>
      <c r="B525" s="8">
        <v>3312</v>
      </c>
      <c r="C525" s="8" t="s">
        <v>699</v>
      </c>
      <c r="D525" s="8" t="s">
        <v>10</v>
      </c>
      <c r="E525" s="2" t="str">
        <f>"221.75"</f>
        <v>221.75</v>
      </c>
      <c r="F525" s="9" t="s">
        <v>11</v>
      </c>
      <c r="G525" s="9">
        <v>2017</v>
      </c>
      <c r="H525" s="10" t="str">
        <f>"181.75"</f>
        <v>181.75</v>
      </c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</row>
    <row r="526" spans="1:41">
      <c r="A526" s="8">
        <v>524</v>
      </c>
      <c r="B526" s="8">
        <v>10870</v>
      </c>
      <c r="C526" s="8" t="s">
        <v>700</v>
      </c>
      <c r="D526" s="8" t="s">
        <v>10</v>
      </c>
      <c r="E526" s="2" t="str">
        <f>"222.21"</f>
        <v>222.21</v>
      </c>
      <c r="F526" s="9"/>
      <c r="G526" s="9">
        <v>2017</v>
      </c>
      <c r="H526" s="10" t="str">
        <f>"414.72"</f>
        <v>414.72</v>
      </c>
      <c r="I526" s="10"/>
      <c r="J526" s="10"/>
      <c r="K526" s="10"/>
      <c r="L526" s="10"/>
      <c r="M526" s="10"/>
      <c r="N526" s="10"/>
      <c r="O526" s="10"/>
      <c r="P526" s="10"/>
      <c r="Q526" s="10" t="str">
        <f>"318.54"</f>
        <v>318.54</v>
      </c>
      <c r="R526" s="10" t="str">
        <f>"313.74"</f>
        <v>313.74</v>
      </c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 t="str">
        <f>"194.22"</f>
        <v>194.22</v>
      </c>
      <c r="AF526" s="10" t="str">
        <f>"250.19"</f>
        <v>250.19</v>
      </c>
      <c r="AG526" s="10"/>
      <c r="AH526" s="10"/>
      <c r="AI526" s="10"/>
      <c r="AJ526" s="10"/>
      <c r="AK526" s="10"/>
      <c r="AL526" s="10"/>
      <c r="AM526" s="10"/>
      <c r="AN526" s="10"/>
      <c r="AO526" s="10"/>
    </row>
    <row r="527" spans="1:41">
      <c r="A527" s="8">
        <v>525</v>
      </c>
      <c r="B527" s="8">
        <v>8483</v>
      </c>
      <c r="C527" s="8" t="s">
        <v>701</v>
      </c>
      <c r="D527" s="8" t="s">
        <v>10</v>
      </c>
      <c r="E527" s="2" t="str">
        <f>"222.24"</f>
        <v>222.24</v>
      </c>
      <c r="F527" s="9" t="s">
        <v>9</v>
      </c>
      <c r="G527" s="9">
        <v>2017</v>
      </c>
      <c r="H527" s="10" t="str">
        <f>"166.52"</f>
        <v>166.52</v>
      </c>
      <c r="I527" s="10"/>
      <c r="J527" s="10"/>
      <c r="K527" s="10"/>
      <c r="L527" s="10"/>
      <c r="M527" s="10"/>
      <c r="N527" s="10"/>
      <c r="O527" s="10"/>
      <c r="P527" s="10"/>
      <c r="Q527" s="10"/>
      <c r="R527" s="10" t="str">
        <f>"182.24"</f>
        <v>182.24</v>
      </c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</row>
    <row r="528" spans="1:41">
      <c r="A528" s="8">
        <v>526</v>
      </c>
      <c r="B528" s="8">
        <v>10951</v>
      </c>
      <c r="C528" s="8" t="s">
        <v>702</v>
      </c>
      <c r="D528" s="8" t="s">
        <v>60</v>
      </c>
      <c r="E528" s="2" t="str">
        <f>"222.38"</f>
        <v>222.38</v>
      </c>
      <c r="F528" s="9"/>
      <c r="G528" s="9">
        <v>2017</v>
      </c>
      <c r="H528" s="10"/>
      <c r="I528" s="10"/>
      <c r="J528" s="10" t="str">
        <f>"246.16"</f>
        <v>246.16</v>
      </c>
      <c r="K528" s="10"/>
      <c r="L528" s="10" t="str">
        <f>"267.44"</f>
        <v>267.44</v>
      </c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 t="str">
        <f>"311.98"</f>
        <v>311.98</v>
      </c>
      <c r="AI528" s="10"/>
      <c r="AJ528" s="10" t="str">
        <f>"198.59"</f>
        <v>198.59</v>
      </c>
      <c r="AK528" s="10"/>
      <c r="AL528" s="10"/>
      <c r="AM528" s="10"/>
      <c r="AN528" s="10"/>
      <c r="AO528" s="10"/>
    </row>
    <row r="529" spans="1:41">
      <c r="A529" s="8">
        <v>527</v>
      </c>
      <c r="B529" s="8">
        <v>11109</v>
      </c>
      <c r="C529" s="8" t="s">
        <v>703</v>
      </c>
      <c r="D529" s="8" t="s">
        <v>10</v>
      </c>
      <c r="E529" s="2" t="str">
        <f>"222.39"</f>
        <v>222.39</v>
      </c>
      <c r="F529" s="9"/>
      <c r="G529" s="9">
        <v>2017</v>
      </c>
      <c r="H529" s="10"/>
      <c r="I529" s="10"/>
      <c r="J529" s="10"/>
      <c r="K529" s="10"/>
      <c r="L529" s="10"/>
      <c r="M529" s="10"/>
      <c r="N529" s="10"/>
      <c r="O529" s="10"/>
      <c r="P529" s="10"/>
      <c r="Q529" s="10" t="str">
        <f>"324.27"</f>
        <v>324.27</v>
      </c>
      <c r="R529" s="10" t="str">
        <f>"373.08"</f>
        <v>373.08</v>
      </c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 t="str">
        <f>"234.13"</f>
        <v>234.13</v>
      </c>
      <c r="AO529" s="10" t="str">
        <f>"210.64"</f>
        <v>210.64</v>
      </c>
    </row>
    <row r="530" spans="1:41">
      <c r="A530" s="8">
        <v>528</v>
      </c>
      <c r="B530" s="8">
        <v>2827</v>
      </c>
      <c r="C530" s="8" t="s">
        <v>704</v>
      </c>
      <c r="D530" s="8" t="s">
        <v>20</v>
      </c>
      <c r="E530" s="2" t="str">
        <f>"222.74"</f>
        <v>222.74</v>
      </c>
      <c r="F530" s="9"/>
      <c r="G530" s="9">
        <v>2017</v>
      </c>
      <c r="H530" s="10" t="str">
        <f>"242.19"</f>
        <v>242.19</v>
      </c>
      <c r="I530" s="10"/>
      <c r="J530" s="10"/>
      <c r="K530" s="10"/>
      <c r="L530" s="10"/>
      <c r="M530" s="10"/>
      <c r="N530" s="10"/>
      <c r="O530" s="10"/>
      <c r="P530" s="10" t="str">
        <f>"271.92"</f>
        <v>271.92</v>
      </c>
      <c r="Q530" s="10"/>
      <c r="R530" s="10"/>
      <c r="S530" s="10"/>
      <c r="T530" s="10" t="str">
        <f>"335.44"</f>
        <v>335.44</v>
      </c>
      <c r="U530" s="10"/>
      <c r="V530" s="10"/>
      <c r="W530" s="10"/>
      <c r="X530" s="10"/>
      <c r="Y530" s="10"/>
      <c r="Z530" s="10"/>
      <c r="AA530" s="10" t="str">
        <f>"224.37"</f>
        <v>224.37</v>
      </c>
      <c r="AB530" s="10"/>
      <c r="AC530" s="10"/>
      <c r="AD530" s="10"/>
      <c r="AE530" s="10"/>
      <c r="AF530" s="10"/>
      <c r="AG530" s="10"/>
      <c r="AH530" s="10"/>
      <c r="AI530" s="10"/>
      <c r="AJ530" s="10"/>
      <c r="AK530" s="10" t="str">
        <f>"221.11"</f>
        <v>221.11</v>
      </c>
      <c r="AL530" s="10"/>
      <c r="AM530" s="10"/>
      <c r="AN530" s="10"/>
      <c r="AO530" s="10"/>
    </row>
    <row r="531" spans="1:41">
      <c r="A531" s="8">
        <v>529</v>
      </c>
      <c r="B531" s="8">
        <v>11265</v>
      </c>
      <c r="C531" s="8" t="s">
        <v>705</v>
      </c>
      <c r="D531" s="8" t="s">
        <v>10</v>
      </c>
      <c r="E531" s="2" t="str">
        <f>"223.39"</f>
        <v>223.39</v>
      </c>
      <c r="F531" s="9"/>
      <c r="G531" s="9">
        <v>2017</v>
      </c>
      <c r="H531" s="10"/>
      <c r="I531" s="10"/>
      <c r="J531" s="10"/>
      <c r="K531" s="10"/>
      <c r="L531" s="10"/>
      <c r="M531" s="10"/>
      <c r="N531" s="10"/>
      <c r="O531" s="10"/>
      <c r="P531" s="10"/>
      <c r="Q531" s="10" t="str">
        <f>"344.72"</f>
        <v>344.72</v>
      </c>
      <c r="R531" s="10" t="str">
        <f>"484.58"</f>
        <v>484.58</v>
      </c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 t="str">
        <f>"279.03"</f>
        <v>279.03</v>
      </c>
      <c r="AF531" s="10" t="str">
        <f>"352.65"</f>
        <v>352.65</v>
      </c>
      <c r="AG531" s="10"/>
      <c r="AH531" s="10"/>
      <c r="AI531" s="10"/>
      <c r="AJ531" s="10"/>
      <c r="AK531" s="10"/>
      <c r="AL531" s="10"/>
      <c r="AM531" s="10"/>
      <c r="AN531" s="10" t="str">
        <f>"233.34"</f>
        <v>233.34</v>
      </c>
      <c r="AO531" s="10" t="str">
        <f>"213.43"</f>
        <v>213.43</v>
      </c>
    </row>
    <row r="532" spans="1:41">
      <c r="A532" s="8">
        <v>530</v>
      </c>
      <c r="B532" s="8">
        <v>5368</v>
      </c>
      <c r="C532" s="8" t="s">
        <v>706</v>
      </c>
      <c r="D532" s="8" t="s">
        <v>39</v>
      </c>
      <c r="E532" s="2" t="str">
        <f>"223.53"</f>
        <v>223.53</v>
      </c>
      <c r="F532" s="9" t="s">
        <v>11</v>
      </c>
      <c r="G532" s="9">
        <v>2017</v>
      </c>
      <c r="H532" s="10" t="str">
        <f>"183.53"</f>
        <v>183.53</v>
      </c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</row>
    <row r="533" spans="1:41">
      <c r="A533" s="8">
        <v>531</v>
      </c>
      <c r="B533" s="8">
        <v>2320</v>
      </c>
      <c r="C533" s="8" t="s">
        <v>707</v>
      </c>
      <c r="D533" s="8" t="s">
        <v>10</v>
      </c>
      <c r="E533" s="2" t="str">
        <f>"224.63"</f>
        <v>224.63</v>
      </c>
      <c r="F533" s="9"/>
      <c r="G533" s="9">
        <v>2017</v>
      </c>
      <c r="H533" s="10" t="str">
        <f>"216.76"</f>
        <v>216.76</v>
      </c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 t="str">
        <f>"237.81"</f>
        <v>237.81</v>
      </c>
      <c r="AK533" s="10"/>
      <c r="AL533" s="10" t="str">
        <f>"211.44"</f>
        <v>211.44</v>
      </c>
      <c r="AM533" s="10"/>
      <c r="AN533" s="10"/>
      <c r="AO533" s="10"/>
    </row>
    <row r="534" spans="1:41">
      <c r="A534" s="8">
        <v>532</v>
      </c>
      <c r="B534" s="8">
        <v>3087</v>
      </c>
      <c r="C534" s="8" t="s">
        <v>708</v>
      </c>
      <c r="D534" s="8" t="s">
        <v>23</v>
      </c>
      <c r="E534" s="2" t="str">
        <f>"224.96"</f>
        <v>224.96</v>
      </c>
      <c r="F534" s="9"/>
      <c r="G534" s="9">
        <v>2017</v>
      </c>
      <c r="H534" s="10" t="str">
        <f>"244.45"</f>
        <v>244.45</v>
      </c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 t="str">
        <f>"211.48"</f>
        <v>211.48</v>
      </c>
      <c r="AH534" s="10" t="str">
        <f>"346.47"</f>
        <v>346.47</v>
      </c>
      <c r="AI534" s="10"/>
      <c r="AJ534" s="10"/>
      <c r="AK534" s="10" t="str">
        <f>"238.44"</f>
        <v>238.44</v>
      </c>
      <c r="AL534" s="10"/>
      <c r="AM534" s="10"/>
      <c r="AN534" s="10"/>
      <c r="AO534" s="10"/>
    </row>
    <row r="535" spans="1:41">
      <c r="A535" s="8">
        <v>533</v>
      </c>
      <c r="B535" s="8">
        <v>5258</v>
      </c>
      <c r="C535" s="8" t="s">
        <v>709</v>
      </c>
      <c r="D535" s="8" t="s">
        <v>180</v>
      </c>
      <c r="E535" s="2" t="str">
        <f>"225.02"</f>
        <v>225.02</v>
      </c>
      <c r="F535" s="9" t="s">
        <v>9</v>
      </c>
      <c r="G535" s="9">
        <v>2017</v>
      </c>
      <c r="H535" s="10" t="str">
        <f>"176.01"</f>
        <v>176.01</v>
      </c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 t="str">
        <f>"185.02"</f>
        <v>185.02</v>
      </c>
      <c r="AK535" s="10"/>
      <c r="AL535" s="10"/>
      <c r="AM535" s="10"/>
      <c r="AN535" s="10"/>
      <c r="AO535" s="10"/>
    </row>
    <row r="536" spans="1:41">
      <c r="A536" s="8">
        <v>534</v>
      </c>
      <c r="B536" s="8">
        <v>3754</v>
      </c>
      <c r="C536" s="8" t="s">
        <v>710</v>
      </c>
      <c r="D536" s="8" t="s">
        <v>55</v>
      </c>
      <c r="E536" s="2" t="str">
        <f>"225.70"</f>
        <v>225.70</v>
      </c>
      <c r="F536" s="9" t="s">
        <v>11</v>
      </c>
      <c r="G536" s="9">
        <v>2017</v>
      </c>
      <c r="H536" s="10" t="str">
        <f>"185.70"</f>
        <v>185.70</v>
      </c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</row>
    <row r="537" spans="1:41">
      <c r="A537" s="8">
        <v>535</v>
      </c>
      <c r="B537" s="8">
        <v>2489</v>
      </c>
      <c r="C537" s="8" t="s">
        <v>711</v>
      </c>
      <c r="D537" s="8" t="s">
        <v>14</v>
      </c>
      <c r="E537" s="2" t="str">
        <f>"225.73"</f>
        <v>225.73</v>
      </c>
      <c r="F537" s="9" t="s">
        <v>11</v>
      </c>
      <c r="G537" s="9">
        <v>2017</v>
      </c>
      <c r="H537" s="10" t="str">
        <f>"185.73"</f>
        <v>185.73</v>
      </c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</row>
    <row r="538" spans="1:41">
      <c r="A538" s="8">
        <v>536</v>
      </c>
      <c r="B538" s="8">
        <v>10774</v>
      </c>
      <c r="C538" s="8" t="s">
        <v>712</v>
      </c>
      <c r="D538" s="8" t="s">
        <v>19</v>
      </c>
      <c r="E538" s="2" t="str">
        <f>"226.01"</f>
        <v>226.01</v>
      </c>
      <c r="F538" s="9"/>
      <c r="G538" s="9">
        <v>2017</v>
      </c>
      <c r="H538" s="10" t="str">
        <f>"621.32"</f>
        <v>621.32</v>
      </c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 t="str">
        <f>"314.93"</f>
        <v>314.93</v>
      </c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 t="str">
        <f>"312.18"</f>
        <v>312.18</v>
      </c>
      <c r="AN538" s="10" t="str">
        <f>"219.18"</f>
        <v>219.18</v>
      </c>
      <c r="AO538" s="10" t="str">
        <f>"232.84"</f>
        <v>232.84</v>
      </c>
    </row>
    <row r="539" spans="1:41">
      <c r="A539" s="8">
        <v>537</v>
      </c>
      <c r="B539" s="8">
        <v>10815</v>
      </c>
      <c r="C539" s="8" t="s">
        <v>713</v>
      </c>
      <c r="D539" s="8" t="s">
        <v>19</v>
      </c>
      <c r="E539" s="2" t="str">
        <f>"226.04"</f>
        <v>226.04</v>
      </c>
      <c r="F539" s="9" t="s">
        <v>9</v>
      </c>
      <c r="G539" s="9">
        <v>2017</v>
      </c>
      <c r="H539" s="10" t="str">
        <f>"139.93"</f>
        <v>139.93</v>
      </c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 t="str">
        <f>"186.04"</f>
        <v>186.04</v>
      </c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</row>
    <row r="540" spans="1:41">
      <c r="A540" s="8">
        <v>538</v>
      </c>
      <c r="B540" s="8">
        <v>3910</v>
      </c>
      <c r="C540" s="8" t="s">
        <v>714</v>
      </c>
      <c r="D540" s="8" t="s">
        <v>653</v>
      </c>
      <c r="E540" s="2" t="str">
        <f>"226.24"</f>
        <v>226.24</v>
      </c>
      <c r="F540" s="9"/>
      <c r="G540" s="9">
        <v>2017</v>
      </c>
      <c r="H540" s="10" t="str">
        <f>"206.36"</f>
        <v>206.36</v>
      </c>
      <c r="I540" s="10"/>
      <c r="J540" s="10"/>
      <c r="K540" s="10"/>
      <c r="L540" s="10"/>
      <c r="M540" s="10"/>
      <c r="N540" s="10" t="str">
        <f>"208.94"</f>
        <v>208.94</v>
      </c>
      <c r="O540" s="10"/>
      <c r="P540" s="10" t="str">
        <f>"269.07"</f>
        <v>269.07</v>
      </c>
      <c r="Q540" s="10"/>
      <c r="R540" s="10"/>
      <c r="S540" s="10"/>
      <c r="T540" s="10" t="str">
        <f>"243.54"</f>
        <v>243.54</v>
      </c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</row>
    <row r="541" spans="1:41">
      <c r="A541" s="8">
        <v>539</v>
      </c>
      <c r="B541" s="8">
        <v>10356</v>
      </c>
      <c r="C541" s="8" t="s">
        <v>715</v>
      </c>
      <c r="D541" s="8" t="s">
        <v>78</v>
      </c>
      <c r="E541" s="2" t="str">
        <f>"226.63"</f>
        <v>226.63</v>
      </c>
      <c r="F541" s="9" t="s">
        <v>11</v>
      </c>
      <c r="G541" s="9">
        <v>2017</v>
      </c>
      <c r="H541" s="10" t="str">
        <f>"186.63"</f>
        <v>186.63</v>
      </c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</row>
    <row r="542" spans="1:41">
      <c r="A542" s="8">
        <v>540</v>
      </c>
      <c r="B542" s="8">
        <v>2296</v>
      </c>
      <c r="C542" s="8" t="s">
        <v>716</v>
      </c>
      <c r="D542" s="8" t="s">
        <v>10</v>
      </c>
      <c r="E542" s="2" t="str">
        <f>"226.81"</f>
        <v>226.81</v>
      </c>
      <c r="F542" s="9"/>
      <c r="G542" s="9">
        <v>2017</v>
      </c>
      <c r="H542" s="10" t="str">
        <f>"468.22"</f>
        <v>468.22</v>
      </c>
      <c r="I542" s="10"/>
      <c r="J542" s="10"/>
      <c r="K542" s="10"/>
      <c r="L542" s="10"/>
      <c r="M542" s="10"/>
      <c r="N542" s="10"/>
      <c r="O542" s="10"/>
      <c r="P542" s="10"/>
      <c r="Q542" s="10" t="str">
        <f>"241.63"</f>
        <v>241.63</v>
      </c>
      <c r="R542" s="10" t="str">
        <f>"277.06"</f>
        <v>277.06</v>
      </c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 t="str">
        <f>"211.98"</f>
        <v>211.98</v>
      </c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</row>
    <row r="543" spans="1:41">
      <c r="A543" s="8">
        <v>541</v>
      </c>
      <c r="B543" s="8">
        <v>10464</v>
      </c>
      <c r="C543" s="8" t="s">
        <v>717</v>
      </c>
      <c r="D543" s="8" t="s">
        <v>19</v>
      </c>
      <c r="E543" s="2" t="str">
        <f>"227.35"</f>
        <v>227.35</v>
      </c>
      <c r="F543" s="9"/>
      <c r="G543" s="9">
        <v>2017</v>
      </c>
      <c r="H543" s="10" t="str">
        <f>"441.68"</f>
        <v>441.68</v>
      </c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 t="str">
        <f>"265.93"</f>
        <v>265.93</v>
      </c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 t="str">
        <f>"322.65"</f>
        <v>322.65</v>
      </c>
      <c r="AN543" s="10" t="str">
        <f>"216.40"</f>
        <v>216.40</v>
      </c>
      <c r="AO543" s="10" t="str">
        <f>"238.29"</f>
        <v>238.29</v>
      </c>
    </row>
    <row r="544" spans="1:41">
      <c r="A544" s="8">
        <v>542</v>
      </c>
      <c r="B544" s="8">
        <v>970</v>
      </c>
      <c r="C544" s="8" t="s">
        <v>718</v>
      </c>
      <c r="D544" s="8" t="s">
        <v>96</v>
      </c>
      <c r="E544" s="2" t="str">
        <f>"228.23"</f>
        <v>228.23</v>
      </c>
      <c r="F544" s="9" t="s">
        <v>11</v>
      </c>
      <c r="G544" s="9">
        <v>2017</v>
      </c>
      <c r="H544" s="10" t="str">
        <f>"188.23"</f>
        <v>188.23</v>
      </c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</row>
    <row r="545" spans="1:41">
      <c r="A545" s="8">
        <v>543</v>
      </c>
      <c r="B545" s="8">
        <v>10140</v>
      </c>
      <c r="C545" s="8" t="s">
        <v>719</v>
      </c>
      <c r="D545" s="8" t="s">
        <v>10</v>
      </c>
      <c r="E545" s="2" t="str">
        <f>"228.70"</f>
        <v>228.70</v>
      </c>
      <c r="F545" s="9"/>
      <c r="G545" s="9">
        <v>2017</v>
      </c>
      <c r="H545" s="10" t="str">
        <f>"352.55"</f>
        <v>352.55</v>
      </c>
      <c r="I545" s="10"/>
      <c r="J545" s="10"/>
      <c r="K545" s="10"/>
      <c r="L545" s="10"/>
      <c r="M545" s="10"/>
      <c r="N545" s="10"/>
      <c r="O545" s="10"/>
      <c r="P545" s="10"/>
      <c r="Q545" s="10" t="str">
        <f>"311.59"</f>
        <v>311.59</v>
      </c>
      <c r="R545" s="10" t="str">
        <f>"358.70"</f>
        <v>358.70</v>
      </c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 t="str">
        <f>"206.21"</f>
        <v>206.21</v>
      </c>
      <c r="AO545" s="10" t="str">
        <f>"251.18"</f>
        <v>251.18</v>
      </c>
    </row>
    <row r="546" spans="1:41">
      <c r="A546" s="8">
        <v>544</v>
      </c>
      <c r="B546" s="8">
        <v>10899</v>
      </c>
      <c r="C546" s="8" t="s">
        <v>720</v>
      </c>
      <c r="D546" s="8" t="s">
        <v>10</v>
      </c>
      <c r="E546" s="2" t="str">
        <f>"228.71"</f>
        <v>228.71</v>
      </c>
      <c r="F546" s="9"/>
      <c r="G546" s="9">
        <v>2017</v>
      </c>
      <c r="H546" s="10" t="str">
        <f>"600.54"</f>
        <v>600.54</v>
      </c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 t="str">
        <f>"225.67"</f>
        <v>225.67</v>
      </c>
      <c r="AF546" s="10" t="str">
        <f>"256.64"</f>
        <v>256.64</v>
      </c>
      <c r="AG546" s="10"/>
      <c r="AH546" s="10"/>
      <c r="AI546" s="10"/>
      <c r="AJ546" s="10"/>
      <c r="AK546" s="10"/>
      <c r="AL546" s="10"/>
      <c r="AM546" s="10"/>
      <c r="AN546" s="10" t="str">
        <f>"231.75"</f>
        <v>231.75</v>
      </c>
      <c r="AO546" s="10" t="str">
        <f>"231.77"</f>
        <v>231.77</v>
      </c>
    </row>
    <row r="547" spans="1:41">
      <c r="A547" s="8">
        <v>545</v>
      </c>
      <c r="B547" s="8">
        <v>10790</v>
      </c>
      <c r="C547" s="8" t="s">
        <v>721</v>
      </c>
      <c r="D547" s="8" t="s">
        <v>10</v>
      </c>
      <c r="E547" s="2" t="str">
        <f>"228.81"</f>
        <v>228.81</v>
      </c>
      <c r="F547" s="9"/>
      <c r="G547" s="9">
        <v>2017</v>
      </c>
      <c r="H547" s="10" t="str">
        <f>"553.67"</f>
        <v>553.67</v>
      </c>
      <c r="I547" s="10"/>
      <c r="J547" s="10"/>
      <c r="K547" s="10"/>
      <c r="L547" s="10"/>
      <c r="M547" s="10"/>
      <c r="N547" s="10"/>
      <c r="O547" s="10"/>
      <c r="P547" s="10"/>
      <c r="Q547" s="10" t="str">
        <f>"390.81"</f>
        <v>390.81</v>
      </c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 t="str">
        <f>"214.55"</f>
        <v>214.55</v>
      </c>
      <c r="AO547" s="10" t="str">
        <f>"243.07"</f>
        <v>243.07</v>
      </c>
    </row>
    <row r="548" spans="1:41">
      <c r="A548" s="8">
        <v>546</v>
      </c>
      <c r="B548" s="8">
        <v>7046</v>
      </c>
      <c r="C548" s="8" t="s">
        <v>722</v>
      </c>
      <c r="D548" s="8" t="s">
        <v>62</v>
      </c>
      <c r="E548" s="2" t="str">
        <f>"229.04"</f>
        <v>229.04</v>
      </c>
      <c r="F548" s="9"/>
      <c r="G548" s="9">
        <v>2017</v>
      </c>
      <c r="H548" s="10" t="str">
        <f>"327.05"</f>
        <v>327.05</v>
      </c>
      <c r="I548" s="10"/>
      <c r="J548" s="10"/>
      <c r="K548" s="10"/>
      <c r="L548" s="10"/>
      <c r="M548" s="10" t="str">
        <f>"229.56"</f>
        <v>229.56</v>
      </c>
      <c r="N548" s="10"/>
      <c r="O548" s="10" t="str">
        <f>"228.52"</f>
        <v>228.52</v>
      </c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</row>
    <row r="549" spans="1:41">
      <c r="A549" s="8">
        <v>547</v>
      </c>
      <c r="B549" s="8">
        <v>11115</v>
      </c>
      <c r="C549" s="8" t="s">
        <v>723</v>
      </c>
      <c r="D549" s="8" t="s">
        <v>14</v>
      </c>
      <c r="E549" s="2" t="str">
        <f>"229.08"</f>
        <v>229.08</v>
      </c>
      <c r="F549" s="9" t="s">
        <v>9</v>
      </c>
      <c r="G549" s="9">
        <v>2017</v>
      </c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 t="str">
        <f>"189.08"</f>
        <v>189.08</v>
      </c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</row>
    <row r="550" spans="1:41">
      <c r="A550" s="8">
        <v>548</v>
      </c>
      <c r="B550" s="8">
        <v>4128</v>
      </c>
      <c r="C550" s="8" t="s">
        <v>724</v>
      </c>
      <c r="D550" s="8" t="s">
        <v>51</v>
      </c>
      <c r="E550" s="2" t="str">
        <f>"229.09"</f>
        <v>229.09</v>
      </c>
      <c r="F550" s="9"/>
      <c r="G550" s="9">
        <v>2017</v>
      </c>
      <c r="H550" s="10" t="str">
        <f>"259.17"</f>
        <v>259.17</v>
      </c>
      <c r="I550" s="10"/>
      <c r="J550" s="10"/>
      <c r="K550" s="10"/>
      <c r="L550" s="10"/>
      <c r="M550" s="10" t="str">
        <f>"235.36"</f>
        <v>235.36</v>
      </c>
      <c r="N550" s="10"/>
      <c r="O550" s="10" t="str">
        <f>"243.54"</f>
        <v>243.54</v>
      </c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 t="str">
        <f>"222.82"</f>
        <v>222.82</v>
      </c>
      <c r="AA550" s="10"/>
      <c r="AB550" s="10"/>
      <c r="AC550" s="10" t="str">
        <f>"310.98"</f>
        <v>310.98</v>
      </c>
      <c r="AD550" s="10" t="str">
        <f>"285.44"</f>
        <v>285.44</v>
      </c>
      <c r="AE550" s="10"/>
      <c r="AF550" s="10"/>
      <c r="AG550" s="10"/>
      <c r="AH550" s="10"/>
      <c r="AI550" s="10" t="str">
        <f>"282.86"</f>
        <v>282.86</v>
      </c>
      <c r="AJ550" s="10"/>
      <c r="AK550" s="10"/>
      <c r="AL550" s="10" t="str">
        <f>"315.50"</f>
        <v>315.50</v>
      </c>
      <c r="AM550" s="10"/>
      <c r="AN550" s="10"/>
      <c r="AO550" s="10"/>
    </row>
    <row r="551" spans="1:41">
      <c r="A551" s="8">
        <v>549</v>
      </c>
      <c r="B551" s="8">
        <v>1321</v>
      </c>
      <c r="C551" s="8" t="s">
        <v>725</v>
      </c>
      <c r="D551" s="8" t="s">
        <v>68</v>
      </c>
      <c r="E551" s="2" t="str">
        <f>"229.81"</f>
        <v>229.81</v>
      </c>
      <c r="F551" s="9"/>
      <c r="G551" s="9">
        <v>2017</v>
      </c>
      <c r="H551" s="10" t="str">
        <f>"467.89"</f>
        <v>467.89</v>
      </c>
      <c r="I551" s="10"/>
      <c r="J551" s="10"/>
      <c r="K551" s="10"/>
      <c r="L551" s="10"/>
      <c r="M551" s="10" t="str">
        <f>"212.61"</f>
        <v>212.61</v>
      </c>
      <c r="N551" s="10"/>
      <c r="O551" s="10" t="str">
        <f>"247.01"</f>
        <v>247.01</v>
      </c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</row>
    <row r="552" spans="1:41">
      <c r="A552" s="8">
        <v>550</v>
      </c>
      <c r="B552" s="8">
        <v>5074</v>
      </c>
      <c r="C552" s="8" t="s">
        <v>726</v>
      </c>
      <c r="D552" s="8" t="s">
        <v>727</v>
      </c>
      <c r="E552" s="2" t="str">
        <f>"229.81"</f>
        <v>229.81</v>
      </c>
      <c r="F552" s="9" t="s">
        <v>9</v>
      </c>
      <c r="G552" s="9">
        <v>2017</v>
      </c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 t="str">
        <f>"189.81"</f>
        <v>189.81</v>
      </c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</row>
    <row r="553" spans="1:41">
      <c r="A553" s="8">
        <v>551</v>
      </c>
      <c r="B553" s="8">
        <v>11353</v>
      </c>
      <c r="C553" s="8" t="s">
        <v>728</v>
      </c>
      <c r="D553" s="8" t="s">
        <v>80</v>
      </c>
      <c r="E553" s="2" t="str">
        <f>"229.87"</f>
        <v>229.87</v>
      </c>
      <c r="F553" s="9"/>
      <c r="G553" s="9">
        <v>2017</v>
      </c>
      <c r="H553" s="10"/>
      <c r="I553" s="10"/>
      <c r="J553" s="10"/>
      <c r="K553" s="10"/>
      <c r="L553" s="10"/>
      <c r="M553" s="10" t="str">
        <f>"258.11"</f>
        <v>258.11</v>
      </c>
      <c r="N553" s="10"/>
      <c r="O553" s="10" t="str">
        <f>"201.62"</f>
        <v>201.62</v>
      </c>
      <c r="P553" s="10"/>
      <c r="Q553" s="10"/>
      <c r="R553" s="10"/>
      <c r="S553" s="10"/>
      <c r="T553" s="10" t="str">
        <f>"291.79"</f>
        <v>291.79</v>
      </c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</row>
    <row r="554" spans="1:41">
      <c r="A554" s="8">
        <v>552</v>
      </c>
      <c r="B554" s="8">
        <v>3904</v>
      </c>
      <c r="C554" s="8" t="s">
        <v>729</v>
      </c>
      <c r="D554" s="8" t="s">
        <v>68</v>
      </c>
      <c r="E554" s="2" t="str">
        <f>"229.90"</f>
        <v>229.90</v>
      </c>
      <c r="F554" s="9" t="s">
        <v>9</v>
      </c>
      <c r="G554" s="9">
        <v>2017</v>
      </c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 t="str">
        <f>"189.90"</f>
        <v>189.90</v>
      </c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  <c r="AO554" s="10"/>
    </row>
    <row r="555" spans="1:41">
      <c r="A555" s="8">
        <v>553</v>
      </c>
      <c r="B555" s="8">
        <v>2894</v>
      </c>
      <c r="C555" s="8" t="s">
        <v>730</v>
      </c>
      <c r="D555" s="8" t="s">
        <v>33</v>
      </c>
      <c r="E555" s="2" t="str">
        <f>"230.39"</f>
        <v>230.39</v>
      </c>
      <c r="F555" s="9" t="s">
        <v>9</v>
      </c>
      <c r="G555" s="9">
        <v>2017</v>
      </c>
      <c r="H555" s="10" t="str">
        <f>"195.17"</f>
        <v>195.17</v>
      </c>
      <c r="I555" s="10"/>
      <c r="J555" s="10"/>
      <c r="K555" s="10"/>
      <c r="L555" s="10"/>
      <c r="M555" s="10"/>
      <c r="N555" s="10"/>
      <c r="O555" s="10" t="str">
        <f>"190.39"</f>
        <v>190.39</v>
      </c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</row>
    <row r="556" spans="1:41">
      <c r="A556" s="8">
        <v>554</v>
      </c>
      <c r="B556" s="8">
        <v>756</v>
      </c>
      <c r="C556" s="8" t="s">
        <v>731</v>
      </c>
      <c r="D556" s="8" t="s">
        <v>20</v>
      </c>
      <c r="E556" s="2" t="str">
        <f>"232.14"</f>
        <v>232.14</v>
      </c>
      <c r="F556" s="9" t="s">
        <v>11</v>
      </c>
      <c r="G556" s="9">
        <v>2017</v>
      </c>
      <c r="H556" s="10" t="str">
        <f>"192.14"</f>
        <v>192.14</v>
      </c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</row>
    <row r="557" spans="1:41">
      <c r="A557" s="8">
        <v>555</v>
      </c>
      <c r="B557" s="8">
        <v>3039</v>
      </c>
      <c r="C557" s="8" t="s">
        <v>732</v>
      </c>
      <c r="D557" s="8" t="s">
        <v>17</v>
      </c>
      <c r="E557" s="2" t="str">
        <f>"232.17"</f>
        <v>232.17</v>
      </c>
      <c r="F557" s="9"/>
      <c r="G557" s="9">
        <v>2017</v>
      </c>
      <c r="H557" s="10" t="str">
        <f>"179.98"</f>
        <v>179.98</v>
      </c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 t="str">
        <f>"216.66"</f>
        <v>216.66</v>
      </c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 t="str">
        <f>"247.68"</f>
        <v>247.68</v>
      </c>
      <c r="AL557" s="10"/>
      <c r="AM557" s="10"/>
      <c r="AN557" s="10"/>
      <c r="AO557" s="10"/>
    </row>
    <row r="558" spans="1:41">
      <c r="A558" s="8">
        <v>556</v>
      </c>
      <c r="B558" s="8">
        <v>708</v>
      </c>
      <c r="C558" s="8" t="s">
        <v>733</v>
      </c>
      <c r="D558" s="8" t="s">
        <v>692</v>
      </c>
      <c r="E558" s="2" t="str">
        <f>"232.21"</f>
        <v>232.21</v>
      </c>
      <c r="F558" s="9"/>
      <c r="G558" s="9">
        <v>2017</v>
      </c>
      <c r="H558" s="10" t="str">
        <f>"297.17"</f>
        <v>297.17</v>
      </c>
      <c r="I558" s="10"/>
      <c r="J558" s="10"/>
      <c r="K558" s="10"/>
      <c r="L558" s="10"/>
      <c r="M558" s="10" t="str">
        <f>"243.99"</f>
        <v>243.99</v>
      </c>
      <c r="N558" s="10"/>
      <c r="O558" s="10" t="str">
        <f>"220.43"</f>
        <v>220.43</v>
      </c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</row>
    <row r="559" spans="1:41">
      <c r="A559" s="8">
        <v>557</v>
      </c>
      <c r="B559" s="8">
        <v>10696</v>
      </c>
      <c r="C559" s="8" t="s">
        <v>734</v>
      </c>
      <c r="D559" s="8" t="s">
        <v>60</v>
      </c>
      <c r="E559" s="2" t="str">
        <f>"232.51"</f>
        <v>232.51</v>
      </c>
      <c r="F559" s="9" t="s">
        <v>11</v>
      </c>
      <c r="G559" s="9">
        <v>2017</v>
      </c>
      <c r="H559" s="10" t="str">
        <f>"192.51"</f>
        <v>192.51</v>
      </c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</row>
    <row r="560" spans="1:41">
      <c r="A560" s="8">
        <v>558</v>
      </c>
      <c r="B560" s="8">
        <v>10727</v>
      </c>
      <c r="C560" s="8" t="s">
        <v>735</v>
      </c>
      <c r="D560" s="8" t="s">
        <v>19</v>
      </c>
      <c r="E560" s="2" t="str">
        <f>"232.67"</f>
        <v>232.67</v>
      </c>
      <c r="F560" s="9"/>
      <c r="G560" s="9">
        <v>2017</v>
      </c>
      <c r="H560" s="10" t="str">
        <f>"330.82"</f>
        <v>330.82</v>
      </c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 t="str">
        <f>"240.31"</f>
        <v>240.31</v>
      </c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 t="str">
        <f>"225.03"</f>
        <v>225.03</v>
      </c>
      <c r="AN560" s="10"/>
      <c r="AO560" s="10"/>
    </row>
    <row r="561" spans="1:41">
      <c r="A561" s="8">
        <v>559</v>
      </c>
      <c r="B561" s="8">
        <v>4496</v>
      </c>
      <c r="C561" s="8" t="s">
        <v>736</v>
      </c>
      <c r="D561" s="8" t="s">
        <v>18</v>
      </c>
      <c r="E561" s="2" t="str">
        <f>"233.00"</f>
        <v>233.00</v>
      </c>
      <c r="F561" s="9"/>
      <c r="G561" s="9">
        <v>2017</v>
      </c>
      <c r="H561" s="10" t="str">
        <f>"259.49"</f>
        <v>259.49</v>
      </c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 t="str">
        <f>"240.81"</f>
        <v>240.81</v>
      </c>
      <c r="AD561" s="10" t="str">
        <f>"225.19"</f>
        <v>225.19</v>
      </c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</row>
    <row r="562" spans="1:41">
      <c r="A562" s="8">
        <v>560</v>
      </c>
      <c r="B562" s="8">
        <v>3756</v>
      </c>
      <c r="C562" s="8" t="s">
        <v>737</v>
      </c>
      <c r="D562" s="8" t="s">
        <v>36</v>
      </c>
      <c r="E562" s="2" t="str">
        <f>"233.58"</f>
        <v>233.58</v>
      </c>
      <c r="F562" s="9" t="s">
        <v>9</v>
      </c>
      <c r="G562" s="9">
        <v>2017</v>
      </c>
      <c r="H562" s="10" t="str">
        <f>"255.52"</f>
        <v>255.52</v>
      </c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 t="str">
        <f>"193.58"</f>
        <v>193.58</v>
      </c>
      <c r="AJ562" s="10"/>
      <c r="AK562" s="10"/>
      <c r="AL562" s="10"/>
      <c r="AM562" s="10"/>
      <c r="AN562" s="10"/>
      <c r="AO562" s="10"/>
    </row>
    <row r="563" spans="1:41">
      <c r="A563" s="8">
        <v>561</v>
      </c>
      <c r="B563" s="8">
        <v>10173</v>
      </c>
      <c r="C563" s="8" t="s">
        <v>738</v>
      </c>
      <c r="D563" s="8" t="s">
        <v>10</v>
      </c>
      <c r="E563" s="2" t="str">
        <f>"233.70"</f>
        <v>233.70</v>
      </c>
      <c r="F563" s="9"/>
      <c r="G563" s="9">
        <v>2017</v>
      </c>
      <c r="H563" s="10" t="str">
        <f>"269.36"</f>
        <v>269.36</v>
      </c>
      <c r="I563" s="10"/>
      <c r="J563" s="10"/>
      <c r="K563" s="10"/>
      <c r="L563" s="10"/>
      <c r="M563" s="10"/>
      <c r="N563" s="10"/>
      <c r="O563" s="10"/>
      <c r="P563" s="10"/>
      <c r="Q563" s="10" t="str">
        <f>"269.04"</f>
        <v>269.04</v>
      </c>
      <c r="R563" s="10" t="str">
        <f>"326.82"</f>
        <v>326.82</v>
      </c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 t="str">
        <f>"212.28"</f>
        <v>212.28</v>
      </c>
      <c r="AF563" s="10" t="str">
        <f>"255.12"</f>
        <v>255.12</v>
      </c>
      <c r="AG563" s="10"/>
      <c r="AH563" s="10"/>
      <c r="AI563" s="10"/>
      <c r="AJ563" s="10"/>
      <c r="AK563" s="10"/>
      <c r="AL563" s="10"/>
      <c r="AM563" s="10"/>
      <c r="AN563" s="10"/>
      <c r="AO563" s="10"/>
    </row>
    <row r="564" spans="1:41">
      <c r="A564" s="8">
        <v>562</v>
      </c>
      <c r="B564" s="8">
        <v>7460</v>
      </c>
      <c r="C564" s="8" t="s">
        <v>739</v>
      </c>
      <c r="D564" s="8" t="s">
        <v>740</v>
      </c>
      <c r="E564" s="2" t="str">
        <f>"233.74"</f>
        <v>233.74</v>
      </c>
      <c r="F564" s="9" t="s">
        <v>9</v>
      </c>
      <c r="G564" s="9">
        <v>2017</v>
      </c>
      <c r="H564" s="10" t="str">
        <f>"153.28"</f>
        <v>153.28</v>
      </c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 t="str">
        <f>"193.74"</f>
        <v>193.74</v>
      </c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</row>
    <row r="565" spans="1:41">
      <c r="A565" s="8">
        <v>563</v>
      </c>
      <c r="B565" s="8">
        <v>2638</v>
      </c>
      <c r="C565" s="8" t="s">
        <v>741</v>
      </c>
      <c r="D565" s="8" t="s">
        <v>20</v>
      </c>
      <c r="E565" s="2" t="str">
        <f>"233.87"</f>
        <v>233.87</v>
      </c>
      <c r="F565" s="9"/>
      <c r="G565" s="9">
        <v>2017</v>
      </c>
      <c r="H565" s="10" t="str">
        <f>"189.40"</f>
        <v>189.40</v>
      </c>
      <c r="I565" s="10"/>
      <c r="J565" s="10"/>
      <c r="K565" s="10"/>
      <c r="L565" s="10"/>
      <c r="M565" s="10"/>
      <c r="N565" s="10" t="str">
        <f>"273.70"</f>
        <v>273.70</v>
      </c>
      <c r="O565" s="10"/>
      <c r="P565" s="10" t="str">
        <f>"230.01"</f>
        <v>230.01</v>
      </c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 t="str">
        <f>"267.45"</f>
        <v>267.45</v>
      </c>
      <c r="AB565" s="10"/>
      <c r="AC565" s="10"/>
      <c r="AD565" s="10"/>
      <c r="AE565" s="10"/>
      <c r="AF565" s="10"/>
      <c r="AG565" s="10"/>
      <c r="AH565" s="10"/>
      <c r="AI565" s="10"/>
      <c r="AJ565" s="10"/>
      <c r="AK565" s="10" t="str">
        <f>"237.73"</f>
        <v>237.73</v>
      </c>
      <c r="AL565" s="10"/>
      <c r="AM565" s="10"/>
      <c r="AN565" s="10"/>
      <c r="AO565" s="10"/>
    </row>
    <row r="566" spans="1:41">
      <c r="A566" s="8">
        <v>564</v>
      </c>
      <c r="B566" s="8">
        <v>350</v>
      </c>
      <c r="C566" s="8" t="s">
        <v>742</v>
      </c>
      <c r="D566" s="8" t="s">
        <v>86</v>
      </c>
      <c r="E566" s="2" t="str">
        <f>"234.54"</f>
        <v>234.54</v>
      </c>
      <c r="F566" s="9" t="s">
        <v>11</v>
      </c>
      <c r="G566" s="9">
        <v>2017</v>
      </c>
      <c r="H566" s="10" t="str">
        <f>"194.54"</f>
        <v>194.54</v>
      </c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</row>
    <row r="567" spans="1:41">
      <c r="A567" s="8">
        <v>565</v>
      </c>
      <c r="B567" s="8">
        <v>2268</v>
      </c>
      <c r="C567" s="8" t="s">
        <v>743</v>
      </c>
      <c r="D567" s="8" t="s">
        <v>10</v>
      </c>
      <c r="E567" s="2" t="str">
        <f>"234.55"</f>
        <v>234.55</v>
      </c>
      <c r="F567" s="9"/>
      <c r="G567" s="9">
        <v>2017</v>
      </c>
      <c r="H567" s="10" t="str">
        <f>"291.95"</f>
        <v>291.95</v>
      </c>
      <c r="I567" s="10"/>
      <c r="J567" s="10"/>
      <c r="K567" s="10"/>
      <c r="L567" s="10"/>
      <c r="M567" s="10"/>
      <c r="N567" s="10"/>
      <c r="O567" s="10"/>
      <c r="P567" s="10"/>
      <c r="Q567" s="10" t="str">
        <f>"269.86"</f>
        <v>269.86</v>
      </c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 t="str">
        <f>"255.80"</f>
        <v>255.80</v>
      </c>
      <c r="AF567" s="10" t="str">
        <f>"325.52"</f>
        <v>325.52</v>
      </c>
      <c r="AG567" s="10"/>
      <c r="AH567" s="10"/>
      <c r="AI567" s="10"/>
      <c r="AJ567" s="10"/>
      <c r="AK567" s="10"/>
      <c r="AL567" s="10" t="str">
        <f>"283.25"</f>
        <v>283.25</v>
      </c>
      <c r="AM567" s="10"/>
      <c r="AN567" s="10" t="str">
        <f>"234.00"</f>
        <v>234.00</v>
      </c>
      <c r="AO567" s="10" t="str">
        <f>"235.10"</f>
        <v>235.10</v>
      </c>
    </row>
    <row r="568" spans="1:41">
      <c r="A568" s="8">
        <v>566</v>
      </c>
      <c r="B568" s="8">
        <v>2766</v>
      </c>
      <c r="C568" s="8" t="s">
        <v>744</v>
      </c>
      <c r="D568" s="8" t="s">
        <v>65</v>
      </c>
      <c r="E568" s="2" t="str">
        <f>"234.77"</f>
        <v>234.77</v>
      </c>
      <c r="F568" s="9"/>
      <c r="G568" s="9">
        <v>2017</v>
      </c>
      <c r="H568" s="10" t="str">
        <f>"266.98"</f>
        <v>266.98</v>
      </c>
      <c r="I568" s="10"/>
      <c r="J568" s="10"/>
      <c r="K568" s="10"/>
      <c r="L568" s="10"/>
      <c r="M568" s="10"/>
      <c r="N568" s="10"/>
      <c r="O568" s="10"/>
      <c r="P568" s="10" t="str">
        <f>"248.79"</f>
        <v>248.79</v>
      </c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 t="str">
        <f>"220.75"</f>
        <v>220.75</v>
      </c>
      <c r="AH568" s="10" t="str">
        <f>"304.62"</f>
        <v>304.62</v>
      </c>
      <c r="AI568" s="10"/>
      <c r="AJ568" s="10"/>
      <c r="AK568" s="10"/>
      <c r="AL568" s="10"/>
      <c r="AM568" s="10"/>
      <c r="AN568" s="10"/>
      <c r="AO568" s="10"/>
    </row>
    <row r="569" spans="1:41">
      <c r="A569" s="8">
        <v>567</v>
      </c>
      <c r="B569" s="8">
        <v>3377</v>
      </c>
      <c r="C569" s="8" t="s">
        <v>745</v>
      </c>
      <c r="D569" s="8" t="s">
        <v>592</v>
      </c>
      <c r="E569" s="2" t="str">
        <f>"234.82"</f>
        <v>234.82</v>
      </c>
      <c r="F569" s="9"/>
      <c r="G569" s="9">
        <v>2017</v>
      </c>
      <c r="H569" s="10" t="str">
        <f>"270.17"</f>
        <v>270.17</v>
      </c>
      <c r="I569" s="10"/>
      <c r="J569" s="10"/>
      <c r="K569" s="10"/>
      <c r="L569" s="10"/>
      <c r="M569" s="10" t="str">
        <f>"223.28"</f>
        <v>223.28</v>
      </c>
      <c r="N569" s="10"/>
      <c r="O569" s="10" t="str">
        <f>"246.35"</f>
        <v>246.35</v>
      </c>
      <c r="P569" s="10"/>
      <c r="Q569" s="10"/>
      <c r="R569" s="10"/>
      <c r="S569" s="10"/>
      <c r="T569" s="10" t="str">
        <f>"294.87"</f>
        <v>294.87</v>
      </c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 t="str">
        <f>"299.75"</f>
        <v>299.75</v>
      </c>
      <c r="AM569" s="10"/>
      <c r="AN569" s="10"/>
      <c r="AO569" s="10"/>
    </row>
    <row r="570" spans="1:41">
      <c r="A570" s="8">
        <v>568</v>
      </c>
      <c r="B570" s="8">
        <v>9633</v>
      </c>
      <c r="C570" s="8" t="s">
        <v>746</v>
      </c>
      <c r="D570" s="8" t="s">
        <v>189</v>
      </c>
      <c r="E570" s="2" t="str">
        <f>"235.09"</f>
        <v>235.09</v>
      </c>
      <c r="F570" s="9"/>
      <c r="G570" s="9">
        <v>2017</v>
      </c>
      <c r="H570" s="10" t="str">
        <f>"194.43"</f>
        <v>194.43</v>
      </c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 t="str">
        <f>"347.37"</f>
        <v>347.37</v>
      </c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 t="str">
        <f>"205.42"</f>
        <v>205.42</v>
      </c>
      <c r="AH570" s="10" t="str">
        <f>"264.75"</f>
        <v>264.75</v>
      </c>
      <c r="AI570" s="10" t="str">
        <f>"273.63"</f>
        <v>273.63</v>
      </c>
      <c r="AJ570" s="10"/>
      <c r="AK570" s="10"/>
      <c r="AL570" s="10"/>
      <c r="AM570" s="10"/>
      <c r="AN570" s="10"/>
      <c r="AO570" s="10"/>
    </row>
    <row r="571" spans="1:41">
      <c r="A571" s="8">
        <v>569</v>
      </c>
      <c r="B571" s="8">
        <v>1201</v>
      </c>
      <c r="C571" s="8" t="s">
        <v>747</v>
      </c>
      <c r="D571" s="8" t="s">
        <v>748</v>
      </c>
      <c r="E571" s="2" t="str">
        <f>"235.45"</f>
        <v>235.45</v>
      </c>
      <c r="F571" s="9" t="s">
        <v>9</v>
      </c>
      <c r="G571" s="9">
        <v>2017</v>
      </c>
      <c r="H571" s="10" t="str">
        <f>"178.19"</f>
        <v>178.19</v>
      </c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 t="str">
        <f>"195.45"</f>
        <v>195.45</v>
      </c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</row>
    <row r="572" spans="1:41">
      <c r="A572" s="8">
        <v>570</v>
      </c>
      <c r="B572" s="8">
        <v>10579</v>
      </c>
      <c r="C572" s="8" t="s">
        <v>749</v>
      </c>
      <c r="D572" s="8" t="s">
        <v>10</v>
      </c>
      <c r="E572" s="2" t="str">
        <f>"235.48"</f>
        <v>235.48</v>
      </c>
      <c r="F572" s="9" t="s">
        <v>11</v>
      </c>
      <c r="G572" s="9">
        <v>2017</v>
      </c>
      <c r="H572" s="10" t="str">
        <f>"195.48"</f>
        <v>195.48</v>
      </c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</row>
    <row r="573" spans="1:41">
      <c r="A573" s="8">
        <v>571</v>
      </c>
      <c r="B573" s="8">
        <v>8313</v>
      </c>
      <c r="C573" s="8" t="s">
        <v>750</v>
      </c>
      <c r="D573" s="8" t="s">
        <v>147</v>
      </c>
      <c r="E573" s="2" t="str">
        <f>"235.52"</f>
        <v>235.52</v>
      </c>
      <c r="F573" s="9"/>
      <c r="G573" s="9">
        <v>2017</v>
      </c>
      <c r="H573" s="10" t="str">
        <f>"256.14"</f>
        <v>256.14</v>
      </c>
      <c r="I573" s="10"/>
      <c r="J573" s="10"/>
      <c r="K573" s="10"/>
      <c r="L573" s="10"/>
      <c r="M573" s="10"/>
      <c r="N573" s="10"/>
      <c r="O573" s="10"/>
      <c r="P573" s="10" t="str">
        <f>"233.02"</f>
        <v>233.02</v>
      </c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 t="str">
        <f>"238.01"</f>
        <v>238.01</v>
      </c>
      <c r="AL573" s="10"/>
      <c r="AM573" s="10"/>
      <c r="AN573" s="10"/>
      <c r="AO573" s="10"/>
    </row>
    <row r="574" spans="1:41">
      <c r="A574" s="8">
        <v>572</v>
      </c>
      <c r="B574" s="8">
        <v>1970</v>
      </c>
      <c r="C574" s="8" t="s">
        <v>751</v>
      </c>
      <c r="D574" s="8" t="s">
        <v>428</v>
      </c>
      <c r="E574" s="2" t="str">
        <f>"235.92"</f>
        <v>235.92</v>
      </c>
      <c r="F574" s="9" t="s">
        <v>9</v>
      </c>
      <c r="G574" s="9">
        <v>2017</v>
      </c>
      <c r="H574" s="10" t="str">
        <f>"209.93"</f>
        <v>209.93</v>
      </c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 t="str">
        <f>"195.92"</f>
        <v>195.92</v>
      </c>
      <c r="AJ574" s="10"/>
      <c r="AK574" s="10"/>
      <c r="AL574" s="10"/>
      <c r="AM574" s="10"/>
      <c r="AN574" s="10"/>
      <c r="AO574" s="10"/>
    </row>
    <row r="575" spans="1:41">
      <c r="A575" s="8">
        <v>573</v>
      </c>
      <c r="B575" s="8">
        <v>7173</v>
      </c>
      <c r="C575" s="8" t="s">
        <v>752</v>
      </c>
      <c r="D575" s="8" t="s">
        <v>42</v>
      </c>
      <c r="E575" s="2" t="str">
        <f>"235.93"</f>
        <v>235.93</v>
      </c>
      <c r="F575" s="9"/>
      <c r="G575" s="9">
        <v>2017</v>
      </c>
      <c r="H575" s="10" t="str">
        <f>"362.27"</f>
        <v>362.27</v>
      </c>
      <c r="I575" s="10"/>
      <c r="J575" s="10"/>
      <c r="K575" s="10"/>
      <c r="L575" s="10"/>
      <c r="M575" s="10" t="str">
        <f>"243.83"</f>
        <v>243.83</v>
      </c>
      <c r="N575" s="10"/>
      <c r="O575" s="10" t="str">
        <f>"228.03"</f>
        <v>228.03</v>
      </c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</row>
    <row r="576" spans="1:41">
      <c r="A576" s="8">
        <v>574</v>
      </c>
      <c r="B576" s="8">
        <v>5144</v>
      </c>
      <c r="C576" s="8" t="s">
        <v>753</v>
      </c>
      <c r="D576" s="8" t="s">
        <v>22</v>
      </c>
      <c r="E576" s="2" t="str">
        <f>"236.23"</f>
        <v>236.23</v>
      </c>
      <c r="F576" s="9" t="s">
        <v>9</v>
      </c>
      <c r="G576" s="9">
        <v>2017</v>
      </c>
      <c r="H576" s="10" t="str">
        <f>"195.38"</f>
        <v>195.38</v>
      </c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 t="str">
        <f>"196.23"</f>
        <v>196.23</v>
      </c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</row>
    <row r="577" spans="1:41">
      <c r="A577" s="8">
        <v>575</v>
      </c>
      <c r="B577" s="8">
        <v>4055</v>
      </c>
      <c r="C577" s="8" t="s">
        <v>754</v>
      </c>
      <c r="D577" s="8" t="s">
        <v>755</v>
      </c>
      <c r="E577" s="2" t="str">
        <f>"236.33"</f>
        <v>236.33</v>
      </c>
      <c r="F577" s="9"/>
      <c r="G577" s="9">
        <v>2017</v>
      </c>
      <c r="H577" s="10" t="str">
        <f>"204.58"</f>
        <v>204.58</v>
      </c>
      <c r="I577" s="10"/>
      <c r="J577" s="10"/>
      <c r="K577" s="10"/>
      <c r="L577" s="10"/>
      <c r="M577" s="10" t="str">
        <f>"241.32"</f>
        <v>241.32</v>
      </c>
      <c r="N577" s="10"/>
      <c r="O577" s="10" t="str">
        <f>"231.33"</f>
        <v>231.33</v>
      </c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  <c r="AO577" s="10"/>
    </row>
    <row r="578" spans="1:41">
      <c r="A578" s="8">
        <v>576</v>
      </c>
      <c r="B578" s="8">
        <v>10446</v>
      </c>
      <c r="C578" s="8" t="s">
        <v>756</v>
      </c>
      <c r="D578" s="8" t="s">
        <v>19</v>
      </c>
      <c r="E578" s="2" t="str">
        <f>"236.41"</f>
        <v>236.41</v>
      </c>
      <c r="F578" s="9"/>
      <c r="G578" s="9">
        <v>2017</v>
      </c>
      <c r="H578" s="10" t="str">
        <f>"661.54"</f>
        <v>661.54</v>
      </c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 t="str">
        <f>"449.12"</f>
        <v>449.12</v>
      </c>
      <c r="Z578" s="10"/>
      <c r="AA578" s="10"/>
      <c r="AB578" s="10" t="str">
        <f>"285.60"</f>
        <v>285.60</v>
      </c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 t="str">
        <f>"236.52"</f>
        <v>236.52</v>
      </c>
      <c r="AO578" s="10" t="str">
        <f>"236.29"</f>
        <v>236.29</v>
      </c>
    </row>
    <row r="579" spans="1:41">
      <c r="A579" s="8">
        <v>577</v>
      </c>
      <c r="B579" s="8">
        <v>2276</v>
      </c>
      <c r="C579" s="8" t="s">
        <v>757</v>
      </c>
      <c r="D579" s="8" t="s">
        <v>64</v>
      </c>
      <c r="E579" s="2" t="str">
        <f>"236.71"</f>
        <v>236.71</v>
      </c>
      <c r="F579" s="9" t="s">
        <v>9</v>
      </c>
      <c r="G579" s="9">
        <v>2017</v>
      </c>
      <c r="H579" s="10" t="str">
        <f>"247.07"</f>
        <v>247.07</v>
      </c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 t="str">
        <f>"196.71"</f>
        <v>196.71</v>
      </c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</row>
    <row r="580" spans="1:41">
      <c r="A580" s="8">
        <v>578</v>
      </c>
      <c r="B580" s="8">
        <v>10966</v>
      </c>
      <c r="C580" s="8" t="s">
        <v>758</v>
      </c>
      <c r="D580" s="8" t="s">
        <v>740</v>
      </c>
      <c r="E580" s="2" t="str">
        <f>"236.97"</f>
        <v>236.97</v>
      </c>
      <c r="F580" s="9"/>
      <c r="G580" s="9">
        <v>2017</v>
      </c>
      <c r="H580" s="10" t="str">
        <f>"225.45"</f>
        <v>225.45</v>
      </c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 t="str">
        <f>"248.75"</f>
        <v>248.75</v>
      </c>
      <c r="V580" s="10"/>
      <c r="W580" s="10"/>
      <c r="X580" s="10" t="str">
        <f>"225.18"</f>
        <v>225.18</v>
      </c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</row>
    <row r="581" spans="1:41">
      <c r="A581" s="8">
        <v>579</v>
      </c>
      <c r="B581" s="8">
        <v>8616</v>
      </c>
      <c r="C581" s="8" t="s">
        <v>759</v>
      </c>
      <c r="D581" s="8" t="s">
        <v>10</v>
      </c>
      <c r="E581" s="2" t="str">
        <f>"237.08"</f>
        <v>237.08</v>
      </c>
      <c r="F581" s="9"/>
      <c r="G581" s="9">
        <v>2017</v>
      </c>
      <c r="H581" s="10" t="str">
        <f>"256.09"</f>
        <v>256.09</v>
      </c>
      <c r="I581" s="10"/>
      <c r="J581" s="10"/>
      <c r="K581" s="10"/>
      <c r="L581" s="10"/>
      <c r="M581" s="10"/>
      <c r="N581" s="10"/>
      <c r="O581" s="10"/>
      <c r="P581" s="10"/>
      <c r="Q581" s="10" t="str">
        <f>"227.18"</f>
        <v>227.18</v>
      </c>
      <c r="R581" s="10" t="str">
        <f>"309.87"</f>
        <v>309.87</v>
      </c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 t="str">
        <f>"246.97"</f>
        <v>246.97</v>
      </c>
      <c r="AF581" s="10" t="str">
        <f>"275.24"</f>
        <v>275.24</v>
      </c>
      <c r="AG581" s="10"/>
      <c r="AH581" s="10"/>
      <c r="AI581" s="10"/>
      <c r="AJ581" s="10"/>
      <c r="AK581" s="10"/>
      <c r="AL581" s="10"/>
      <c r="AM581" s="10"/>
      <c r="AN581" s="10"/>
      <c r="AO581" s="10"/>
    </row>
    <row r="582" spans="1:41">
      <c r="A582" s="8">
        <v>580</v>
      </c>
      <c r="B582" s="8">
        <v>1805</v>
      </c>
      <c r="C582" s="8" t="s">
        <v>760</v>
      </c>
      <c r="D582" s="8" t="s">
        <v>92</v>
      </c>
      <c r="E582" s="2" t="str">
        <f>"237.40"</f>
        <v>237.40</v>
      </c>
      <c r="F582" s="9" t="s">
        <v>11</v>
      </c>
      <c r="G582" s="9">
        <v>2017</v>
      </c>
      <c r="H582" s="10" t="str">
        <f>"197.40"</f>
        <v>197.40</v>
      </c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  <c r="AO582" s="10"/>
    </row>
    <row r="583" spans="1:41">
      <c r="A583" s="8">
        <v>581</v>
      </c>
      <c r="B583" s="8">
        <v>3384</v>
      </c>
      <c r="C583" s="8" t="s">
        <v>761</v>
      </c>
      <c r="D583" s="8" t="s">
        <v>46</v>
      </c>
      <c r="E583" s="2" t="str">
        <f>"238.27"</f>
        <v>238.27</v>
      </c>
      <c r="F583" s="9"/>
      <c r="G583" s="9">
        <v>2017</v>
      </c>
      <c r="H583" s="10" t="str">
        <f>"210.88"</f>
        <v>210.88</v>
      </c>
      <c r="I583" s="10"/>
      <c r="J583" s="10"/>
      <c r="K583" s="10"/>
      <c r="L583" s="10"/>
      <c r="M583" s="10"/>
      <c r="N583" s="10" t="str">
        <f>"245.02"</f>
        <v>245.02</v>
      </c>
      <c r="O583" s="10"/>
      <c r="P583" s="10" t="str">
        <f>"231.52"</f>
        <v>231.52</v>
      </c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</row>
    <row r="584" spans="1:41">
      <c r="A584" s="8">
        <v>582</v>
      </c>
      <c r="B584" s="8">
        <v>2495</v>
      </c>
      <c r="C584" s="8" t="s">
        <v>762</v>
      </c>
      <c r="D584" s="8" t="s">
        <v>30</v>
      </c>
      <c r="E584" s="2" t="str">
        <f>"238.78"</f>
        <v>238.78</v>
      </c>
      <c r="F584" s="9" t="s">
        <v>9</v>
      </c>
      <c r="G584" s="9">
        <v>2017</v>
      </c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 t="str">
        <f>"198.78"</f>
        <v>198.78</v>
      </c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</row>
    <row r="585" spans="1:41">
      <c r="A585" s="8">
        <v>583</v>
      </c>
      <c r="B585" s="8">
        <v>7702</v>
      </c>
      <c r="C585" s="8" t="s">
        <v>763</v>
      </c>
      <c r="D585" s="8" t="s">
        <v>26</v>
      </c>
      <c r="E585" s="2" t="str">
        <f>"239.05"</f>
        <v>239.05</v>
      </c>
      <c r="F585" s="9" t="s">
        <v>11</v>
      </c>
      <c r="G585" s="9">
        <v>2017</v>
      </c>
      <c r="H585" s="10" t="str">
        <f>"199.05"</f>
        <v>199.05</v>
      </c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</row>
    <row r="586" spans="1:41">
      <c r="A586" s="8">
        <v>584</v>
      </c>
      <c r="B586" s="8">
        <v>5757</v>
      </c>
      <c r="C586" s="8" t="s">
        <v>764</v>
      </c>
      <c r="D586" s="8" t="s">
        <v>16</v>
      </c>
      <c r="E586" s="2" t="str">
        <f>"239.93"</f>
        <v>239.93</v>
      </c>
      <c r="F586" s="9"/>
      <c r="G586" s="9">
        <v>2017</v>
      </c>
      <c r="H586" s="10" t="str">
        <f>"219.55"</f>
        <v>219.55</v>
      </c>
      <c r="I586" s="10"/>
      <c r="J586" s="10" t="str">
        <f>"231.31"</f>
        <v>231.31</v>
      </c>
      <c r="K586" s="10"/>
      <c r="L586" s="10" t="str">
        <f>"248.55"</f>
        <v>248.55</v>
      </c>
      <c r="M586" s="10"/>
      <c r="N586" s="10"/>
      <c r="O586" s="10"/>
      <c r="P586" s="10"/>
      <c r="Q586" s="10"/>
      <c r="R586" s="10"/>
      <c r="S586" s="10"/>
      <c r="T586" s="10" t="str">
        <f>"262.99"</f>
        <v>262.99</v>
      </c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</row>
    <row r="587" spans="1:41">
      <c r="A587" s="8">
        <v>585</v>
      </c>
      <c r="B587" s="8">
        <v>2919</v>
      </c>
      <c r="C587" s="8" t="s">
        <v>765</v>
      </c>
      <c r="D587" s="8" t="s">
        <v>72</v>
      </c>
      <c r="E587" s="2" t="str">
        <f>"241.22"</f>
        <v>241.22</v>
      </c>
      <c r="F587" s="9"/>
      <c r="G587" s="9">
        <v>2017</v>
      </c>
      <c r="H587" s="10" t="str">
        <f>"304.46"</f>
        <v>304.46</v>
      </c>
      <c r="I587" s="10"/>
      <c r="J587" s="10"/>
      <c r="K587" s="10"/>
      <c r="L587" s="10"/>
      <c r="M587" s="10" t="str">
        <f>"245.09"</f>
        <v>245.09</v>
      </c>
      <c r="N587" s="10"/>
      <c r="O587" s="10" t="str">
        <f>"251.80"</f>
        <v>251.80</v>
      </c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 t="str">
        <f>"237.35"</f>
        <v>237.35</v>
      </c>
      <c r="AH587" s="10" t="str">
        <f>"328.46"</f>
        <v>328.46</v>
      </c>
      <c r="AI587" s="10" t="str">
        <f>"262.39"</f>
        <v>262.39</v>
      </c>
      <c r="AJ587" s="10"/>
      <c r="AK587" s="10"/>
      <c r="AL587" s="10"/>
      <c r="AM587" s="10"/>
      <c r="AN587" s="10"/>
      <c r="AO587" s="10"/>
    </row>
    <row r="588" spans="1:41">
      <c r="A588" s="8">
        <v>586</v>
      </c>
      <c r="B588" s="8">
        <v>2333</v>
      </c>
      <c r="C588" s="8" t="s">
        <v>766</v>
      </c>
      <c r="D588" s="8" t="s">
        <v>10</v>
      </c>
      <c r="E588" s="2" t="str">
        <f>"241.27"</f>
        <v>241.27</v>
      </c>
      <c r="F588" s="9"/>
      <c r="G588" s="9">
        <v>2017</v>
      </c>
      <c r="H588" s="10" t="str">
        <f>"294.68"</f>
        <v>294.68</v>
      </c>
      <c r="I588" s="10"/>
      <c r="J588" s="10"/>
      <c r="K588" s="10"/>
      <c r="L588" s="10"/>
      <c r="M588" s="10"/>
      <c r="N588" s="10"/>
      <c r="O588" s="10"/>
      <c r="P588" s="10"/>
      <c r="Q588" s="10" t="str">
        <f>"283.77"</f>
        <v>283.77</v>
      </c>
      <c r="R588" s="10" t="str">
        <f>"352.44"</f>
        <v>352.44</v>
      </c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 t="str">
        <f>"245.35"</f>
        <v>245.35</v>
      </c>
      <c r="AF588" s="10" t="str">
        <f>"299.33"</f>
        <v>299.33</v>
      </c>
      <c r="AG588" s="10"/>
      <c r="AH588" s="10"/>
      <c r="AI588" s="10"/>
      <c r="AJ588" s="10"/>
      <c r="AK588" s="10"/>
      <c r="AL588" s="10"/>
      <c r="AM588" s="10"/>
      <c r="AN588" s="10" t="str">
        <f>"237.18"</f>
        <v>237.18</v>
      </c>
      <c r="AO588" s="10"/>
    </row>
    <row r="589" spans="1:41">
      <c r="A589" s="8">
        <v>587</v>
      </c>
      <c r="B589" s="8">
        <v>10993</v>
      </c>
      <c r="C589" s="8" t="s">
        <v>767</v>
      </c>
      <c r="D589" s="8" t="s">
        <v>49</v>
      </c>
      <c r="E589" s="2" t="str">
        <f>"241.54"</f>
        <v>241.54</v>
      </c>
      <c r="F589" s="9"/>
      <c r="G589" s="9">
        <v>2017</v>
      </c>
      <c r="H589" s="10" t="str">
        <f>"333.47"</f>
        <v>333.47</v>
      </c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 t="str">
        <f>"245.27"</f>
        <v>245.27</v>
      </c>
      <c r="AJ589" s="10" t="str">
        <f>"237.81"</f>
        <v>237.81</v>
      </c>
      <c r="AK589" s="10"/>
      <c r="AL589" s="10"/>
      <c r="AM589" s="10"/>
      <c r="AN589" s="10"/>
      <c r="AO589" s="10"/>
    </row>
    <row r="590" spans="1:41">
      <c r="A590" s="8">
        <v>588</v>
      </c>
      <c r="B590" s="8">
        <v>5503</v>
      </c>
      <c r="C590" s="8" t="s">
        <v>768</v>
      </c>
      <c r="D590" s="8" t="s">
        <v>30</v>
      </c>
      <c r="E590" s="2" t="str">
        <f>"241.75"</f>
        <v>241.75</v>
      </c>
      <c r="F590" s="9" t="s">
        <v>9</v>
      </c>
      <c r="G590" s="9">
        <v>2017</v>
      </c>
      <c r="H590" s="10" t="str">
        <f>"255.04"</f>
        <v>255.04</v>
      </c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 t="str">
        <f>"201.75"</f>
        <v>201.75</v>
      </c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</row>
    <row r="591" spans="1:41">
      <c r="A591" s="8">
        <v>589</v>
      </c>
      <c r="B591" s="8">
        <v>10385</v>
      </c>
      <c r="C591" s="8" t="s">
        <v>769</v>
      </c>
      <c r="D591" s="8" t="s">
        <v>19</v>
      </c>
      <c r="E591" s="2" t="str">
        <f>"242.01"</f>
        <v>242.01</v>
      </c>
      <c r="F591" s="9"/>
      <c r="G591" s="9">
        <v>2017</v>
      </c>
      <c r="H591" s="10" t="str">
        <f>"279.51"</f>
        <v>279.51</v>
      </c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 t="str">
        <f>"240.89"</f>
        <v>240.89</v>
      </c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 t="str">
        <f>"243.12"</f>
        <v>243.12</v>
      </c>
      <c r="AN591" s="10"/>
      <c r="AO591" s="10"/>
    </row>
    <row r="592" spans="1:41">
      <c r="A592" s="8">
        <v>590</v>
      </c>
      <c r="B592" s="8">
        <v>8413</v>
      </c>
      <c r="C592" s="8" t="s">
        <v>770</v>
      </c>
      <c r="D592" s="8" t="s">
        <v>21</v>
      </c>
      <c r="E592" s="2" t="str">
        <f>"242.03"</f>
        <v>242.03</v>
      </c>
      <c r="F592" s="9" t="s">
        <v>9</v>
      </c>
      <c r="G592" s="9">
        <v>2017</v>
      </c>
      <c r="H592" s="10" t="str">
        <f>"267.65"</f>
        <v>267.65</v>
      </c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 t="str">
        <f>"202.03"</f>
        <v>202.03</v>
      </c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</row>
    <row r="593" spans="1:41">
      <c r="A593" s="8">
        <v>591</v>
      </c>
      <c r="B593" s="8">
        <v>10841</v>
      </c>
      <c r="C593" s="8" t="s">
        <v>771</v>
      </c>
      <c r="D593" s="8" t="s">
        <v>10</v>
      </c>
      <c r="E593" s="2" t="str">
        <f>"242.07"</f>
        <v>242.07</v>
      </c>
      <c r="F593" s="9"/>
      <c r="G593" s="9">
        <v>2017</v>
      </c>
      <c r="H593" s="10" t="str">
        <f>"218.09"</f>
        <v>218.09</v>
      </c>
      <c r="I593" s="10"/>
      <c r="J593" s="10"/>
      <c r="K593" s="10"/>
      <c r="L593" s="10"/>
      <c r="M593" s="10"/>
      <c r="N593" s="10"/>
      <c r="O593" s="10"/>
      <c r="P593" s="10"/>
      <c r="Q593" s="10"/>
      <c r="R593" s="10" t="str">
        <f>"240.20"</f>
        <v>240.20</v>
      </c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 t="str">
        <f>"243.93"</f>
        <v>243.93</v>
      </c>
      <c r="AG593" s="10"/>
      <c r="AH593" s="10"/>
      <c r="AI593" s="10"/>
      <c r="AJ593" s="10"/>
      <c r="AK593" s="10"/>
      <c r="AL593" s="10"/>
      <c r="AM593" s="10"/>
      <c r="AN593" s="10"/>
      <c r="AO593" s="10"/>
    </row>
    <row r="594" spans="1:41">
      <c r="A594" s="8">
        <v>592</v>
      </c>
      <c r="B594" s="8">
        <v>10441</v>
      </c>
      <c r="C594" s="8" t="s">
        <v>772</v>
      </c>
      <c r="D594" s="8" t="s">
        <v>19</v>
      </c>
      <c r="E594" s="2" t="str">
        <f>"242.19"</f>
        <v>242.19</v>
      </c>
      <c r="F594" s="9"/>
      <c r="G594" s="9">
        <v>2017</v>
      </c>
      <c r="H594" s="10" t="str">
        <f>"395.27"</f>
        <v>395.27</v>
      </c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 t="str">
        <f>"306.95"</f>
        <v>306.95</v>
      </c>
      <c r="AC594" s="10" t="str">
        <f>"292.79"</f>
        <v>292.79</v>
      </c>
      <c r="AD594" s="10" t="str">
        <f>"286.31"</f>
        <v>286.31</v>
      </c>
      <c r="AE594" s="10"/>
      <c r="AF594" s="10"/>
      <c r="AG594" s="10"/>
      <c r="AH594" s="10"/>
      <c r="AI594" s="10"/>
      <c r="AJ594" s="10"/>
      <c r="AK594" s="10"/>
      <c r="AL594" s="10"/>
      <c r="AM594" s="10" t="str">
        <f>"338.79"</f>
        <v>338.79</v>
      </c>
      <c r="AN594" s="10" t="str">
        <f>"238.37"</f>
        <v>238.37</v>
      </c>
      <c r="AO594" s="10" t="str">
        <f>"246.00"</f>
        <v>246.00</v>
      </c>
    </row>
    <row r="595" spans="1:41">
      <c r="A595" s="8">
        <v>593</v>
      </c>
      <c r="B595" s="8">
        <v>361</v>
      </c>
      <c r="C595" s="8" t="s">
        <v>773</v>
      </c>
      <c r="D595" s="8" t="s">
        <v>92</v>
      </c>
      <c r="E595" s="2" t="str">
        <f>"242.22"</f>
        <v>242.22</v>
      </c>
      <c r="F595" s="9" t="s">
        <v>11</v>
      </c>
      <c r="G595" s="9">
        <v>2017</v>
      </c>
      <c r="H595" s="10" t="str">
        <f>"202.22"</f>
        <v>202.22</v>
      </c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  <c r="AN595" s="10"/>
      <c r="AO595" s="10"/>
    </row>
    <row r="596" spans="1:41">
      <c r="A596" s="8">
        <v>594</v>
      </c>
      <c r="B596" s="8">
        <v>2300</v>
      </c>
      <c r="C596" s="8" t="s">
        <v>774</v>
      </c>
      <c r="D596" s="8" t="s">
        <v>10</v>
      </c>
      <c r="E596" s="2" t="str">
        <f>"242.35"</f>
        <v>242.35</v>
      </c>
      <c r="F596" s="9"/>
      <c r="G596" s="9">
        <v>2017</v>
      </c>
      <c r="H596" s="10" t="str">
        <f>"200.98"</f>
        <v>200.98</v>
      </c>
      <c r="I596" s="10"/>
      <c r="J596" s="10"/>
      <c r="K596" s="10"/>
      <c r="L596" s="10"/>
      <c r="M596" s="10"/>
      <c r="N596" s="10"/>
      <c r="O596" s="10"/>
      <c r="P596" s="10"/>
      <c r="Q596" s="10"/>
      <c r="R596" s="10" t="str">
        <f>"256.14"</f>
        <v>256.14</v>
      </c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 t="str">
        <f>"228.56"</f>
        <v>228.56</v>
      </c>
      <c r="AG596" s="10"/>
      <c r="AH596" s="10"/>
      <c r="AI596" s="10"/>
      <c r="AJ596" s="10"/>
      <c r="AK596" s="10"/>
      <c r="AL596" s="10"/>
      <c r="AM596" s="10"/>
      <c r="AN596" s="10"/>
      <c r="AO596" s="10"/>
    </row>
    <row r="597" spans="1:41">
      <c r="A597" s="8">
        <v>595</v>
      </c>
      <c r="B597" s="8">
        <v>10943</v>
      </c>
      <c r="C597" s="8" t="s">
        <v>775</v>
      </c>
      <c r="D597" s="8" t="s">
        <v>10</v>
      </c>
      <c r="E597" s="2" t="str">
        <f>"242.69"</f>
        <v>242.69</v>
      </c>
      <c r="F597" s="9"/>
      <c r="G597" s="9">
        <v>2017</v>
      </c>
      <c r="H597" s="10" t="str">
        <f>"531.38"</f>
        <v>531.38</v>
      </c>
      <c r="I597" s="10"/>
      <c r="J597" s="10"/>
      <c r="K597" s="10"/>
      <c r="L597" s="10"/>
      <c r="M597" s="10"/>
      <c r="N597" s="10"/>
      <c r="O597" s="10"/>
      <c r="P597" s="10"/>
      <c r="Q597" s="10" t="str">
        <f>"237.27"</f>
        <v>237.27</v>
      </c>
      <c r="R597" s="10"/>
      <c r="S597" s="10" t="str">
        <f>"347.79"</f>
        <v>347.79</v>
      </c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 t="str">
        <f>"248.10"</f>
        <v>248.10</v>
      </c>
      <c r="AK597" s="10"/>
      <c r="AL597" s="10"/>
      <c r="AM597" s="10"/>
      <c r="AN597" s="10"/>
      <c r="AO597" s="10"/>
    </row>
    <row r="598" spans="1:41">
      <c r="A598" s="8">
        <v>596</v>
      </c>
      <c r="B598" s="8">
        <v>10912</v>
      </c>
      <c r="C598" s="8" t="s">
        <v>776</v>
      </c>
      <c r="D598" s="8" t="s">
        <v>10</v>
      </c>
      <c r="E598" s="2" t="str">
        <f>"242.74"</f>
        <v>242.74</v>
      </c>
      <c r="F598" s="9"/>
      <c r="G598" s="9">
        <v>2017</v>
      </c>
      <c r="H598" s="10" t="str">
        <f>"493.13"</f>
        <v>493.13</v>
      </c>
      <c r="I598" s="10"/>
      <c r="J598" s="10"/>
      <c r="K598" s="10"/>
      <c r="L598" s="10"/>
      <c r="M598" s="10"/>
      <c r="N598" s="10"/>
      <c r="O598" s="10"/>
      <c r="P598" s="10"/>
      <c r="Q598" s="10" t="str">
        <f>"295.50"</f>
        <v>295.50</v>
      </c>
      <c r="R598" s="10" t="str">
        <f>"356.40"</f>
        <v>356.40</v>
      </c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 t="str">
        <f>"207.01"</f>
        <v>207.01</v>
      </c>
      <c r="AF598" s="10" t="str">
        <f>"278.46"</f>
        <v>278.46</v>
      </c>
      <c r="AG598" s="10"/>
      <c r="AH598" s="10"/>
      <c r="AI598" s="10"/>
      <c r="AJ598" s="10"/>
      <c r="AK598" s="10"/>
      <c r="AL598" s="10"/>
      <c r="AM598" s="10"/>
      <c r="AN598" s="10"/>
      <c r="AO598" s="10"/>
    </row>
    <row r="599" spans="1:41">
      <c r="A599" s="8">
        <v>597</v>
      </c>
      <c r="B599" s="8">
        <v>7468</v>
      </c>
      <c r="C599" s="8" t="s">
        <v>779</v>
      </c>
      <c r="D599" s="8" t="s">
        <v>46</v>
      </c>
      <c r="E599" s="2" t="str">
        <f>"243.55"</f>
        <v>243.55</v>
      </c>
      <c r="F599" s="9"/>
      <c r="G599" s="9">
        <v>2017</v>
      </c>
      <c r="H599" s="10" t="str">
        <f>"248.47"</f>
        <v>248.47</v>
      </c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 t="str">
        <f>"188.73"</f>
        <v>188.73</v>
      </c>
      <c r="AH599" s="10" t="str">
        <f>"298.36"</f>
        <v>298.36</v>
      </c>
      <c r="AI599" s="10"/>
      <c r="AJ599" s="10"/>
      <c r="AK599" s="10"/>
      <c r="AL599" s="10"/>
      <c r="AM599" s="10"/>
      <c r="AN599" s="10"/>
      <c r="AO599" s="10"/>
    </row>
    <row r="600" spans="1:41">
      <c r="A600" s="8">
        <v>598</v>
      </c>
      <c r="B600" s="8">
        <v>5335</v>
      </c>
      <c r="C600" s="8" t="s">
        <v>780</v>
      </c>
      <c r="D600" s="8" t="s">
        <v>96</v>
      </c>
      <c r="E600" s="2" t="str">
        <f>"243.68"</f>
        <v>243.68</v>
      </c>
      <c r="F600" s="9" t="s">
        <v>11</v>
      </c>
      <c r="G600" s="9">
        <v>2017</v>
      </c>
      <c r="H600" s="10" t="str">
        <f>"203.68"</f>
        <v>203.68</v>
      </c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  <c r="AM600" s="10"/>
      <c r="AN600" s="10"/>
      <c r="AO600" s="10"/>
    </row>
    <row r="601" spans="1:41">
      <c r="A601" s="8">
        <v>599</v>
      </c>
      <c r="B601" s="8">
        <v>10239</v>
      </c>
      <c r="C601" s="8" t="s">
        <v>781</v>
      </c>
      <c r="D601" s="8" t="s">
        <v>60</v>
      </c>
      <c r="E601" s="2" t="str">
        <f>"244.20"</f>
        <v>244.20</v>
      </c>
      <c r="F601" s="9" t="s">
        <v>9</v>
      </c>
      <c r="G601" s="9">
        <v>2017</v>
      </c>
      <c r="H601" s="10" t="str">
        <f>"343.97"</f>
        <v>343.97</v>
      </c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 t="str">
        <f>"204.20"</f>
        <v>204.20</v>
      </c>
      <c r="AL601" s="10"/>
      <c r="AM601" s="10"/>
      <c r="AN601" s="10"/>
      <c r="AO601" s="10"/>
    </row>
    <row r="602" spans="1:41">
      <c r="A602" s="8">
        <v>600</v>
      </c>
      <c r="B602" s="8">
        <v>11375</v>
      </c>
      <c r="C602" s="8" t="s">
        <v>782</v>
      </c>
      <c r="D602" s="8" t="s">
        <v>692</v>
      </c>
      <c r="E602" s="2" t="str">
        <f>"244.72"</f>
        <v>244.72</v>
      </c>
      <c r="F602" s="9"/>
      <c r="G602" s="9">
        <v>2017</v>
      </c>
      <c r="H602" s="10"/>
      <c r="I602" s="10"/>
      <c r="J602" s="10"/>
      <c r="K602" s="10"/>
      <c r="L602" s="10"/>
      <c r="M602" s="10" t="str">
        <f>"258.11"</f>
        <v>258.11</v>
      </c>
      <c r="N602" s="10"/>
      <c r="O602" s="10" t="str">
        <f>"231.33"</f>
        <v>231.33</v>
      </c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</row>
    <row r="603" spans="1:41">
      <c r="A603" s="8">
        <v>601</v>
      </c>
      <c r="B603" s="8">
        <v>1876</v>
      </c>
      <c r="C603" s="8" t="s">
        <v>783</v>
      </c>
      <c r="D603" s="8" t="s">
        <v>14</v>
      </c>
      <c r="E603" s="2" t="str">
        <f>"244.76"</f>
        <v>244.76</v>
      </c>
      <c r="F603" s="9"/>
      <c r="G603" s="9">
        <v>2017</v>
      </c>
      <c r="H603" s="10" t="str">
        <f>"204.14"</f>
        <v>204.14</v>
      </c>
      <c r="I603" s="10" t="str">
        <f>"237.63"</f>
        <v>237.63</v>
      </c>
      <c r="J603" s="10"/>
      <c r="K603" s="10" t="str">
        <f>"251.88"</f>
        <v>251.88</v>
      </c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</row>
    <row r="604" spans="1:41">
      <c r="A604" s="8">
        <v>602</v>
      </c>
      <c r="B604" s="8">
        <v>2309</v>
      </c>
      <c r="C604" s="8" t="s">
        <v>784</v>
      </c>
      <c r="D604" s="8" t="s">
        <v>10</v>
      </c>
      <c r="E604" s="2" t="str">
        <f>"245.03"</f>
        <v>245.03</v>
      </c>
      <c r="F604" s="9"/>
      <c r="G604" s="9">
        <v>2017</v>
      </c>
      <c r="H604" s="10" t="str">
        <f>"315.66"</f>
        <v>315.66</v>
      </c>
      <c r="I604" s="10"/>
      <c r="J604" s="10"/>
      <c r="K604" s="10"/>
      <c r="L604" s="10"/>
      <c r="M604" s="10"/>
      <c r="N604" s="10"/>
      <c r="O604" s="10"/>
      <c r="P604" s="10"/>
      <c r="Q604" s="10" t="str">
        <f>"203.32"</f>
        <v>203.32</v>
      </c>
      <c r="R604" s="10" t="str">
        <f>"286.74"</f>
        <v>286.74</v>
      </c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  <c r="AO604" s="10"/>
    </row>
    <row r="605" spans="1:41">
      <c r="A605" s="8">
        <v>603</v>
      </c>
      <c r="B605" s="8">
        <v>5381</v>
      </c>
      <c r="C605" s="8" t="s">
        <v>785</v>
      </c>
      <c r="D605" s="8" t="s">
        <v>82</v>
      </c>
      <c r="E605" s="2" t="str">
        <f>"245.15"</f>
        <v>245.15</v>
      </c>
      <c r="F605" s="9"/>
      <c r="G605" s="9">
        <v>2017</v>
      </c>
      <c r="H605" s="10" t="str">
        <f>"203.63"</f>
        <v>203.63</v>
      </c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 t="str">
        <f>"247.15"</f>
        <v>247.15</v>
      </c>
      <c r="V605" s="10"/>
      <c r="W605" s="10"/>
      <c r="X605" s="10" t="str">
        <f>"243.15"</f>
        <v>243.15</v>
      </c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  <c r="AO605" s="10"/>
    </row>
    <row r="606" spans="1:41">
      <c r="A606" s="8">
        <v>604</v>
      </c>
      <c r="B606" s="8">
        <v>10778</v>
      </c>
      <c r="C606" s="8" t="s">
        <v>786</v>
      </c>
      <c r="D606" s="8" t="s">
        <v>19</v>
      </c>
      <c r="E606" s="2" t="str">
        <f>"245.17"</f>
        <v>245.17</v>
      </c>
      <c r="F606" s="9"/>
      <c r="G606" s="9">
        <v>2017</v>
      </c>
      <c r="H606" s="10" t="str">
        <f>"536.58"</f>
        <v>536.58</v>
      </c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 t="str">
        <f>"385.85"</f>
        <v>385.85</v>
      </c>
      <c r="AC606" s="10" t="str">
        <f>"360.96"</f>
        <v>360.96</v>
      </c>
      <c r="AD606" s="10" t="str">
        <f>"294.83"</f>
        <v>294.83</v>
      </c>
      <c r="AE606" s="10"/>
      <c r="AF606" s="10"/>
      <c r="AG606" s="10"/>
      <c r="AH606" s="10"/>
      <c r="AI606" s="10"/>
      <c r="AJ606" s="10"/>
      <c r="AK606" s="10"/>
      <c r="AL606" s="10"/>
      <c r="AM606" s="10" t="str">
        <f>"366.14"</f>
        <v>366.14</v>
      </c>
      <c r="AN606" s="10" t="str">
        <f>"241.94"</f>
        <v>241.94</v>
      </c>
      <c r="AO606" s="10" t="str">
        <f>"248.39"</f>
        <v>248.39</v>
      </c>
    </row>
    <row r="607" spans="1:41">
      <c r="A607" s="8">
        <v>605</v>
      </c>
      <c r="B607" s="8">
        <v>10231</v>
      </c>
      <c r="C607" s="8" t="s">
        <v>787</v>
      </c>
      <c r="D607" s="8" t="s">
        <v>50</v>
      </c>
      <c r="E607" s="2" t="str">
        <f>"245.26"</f>
        <v>245.26</v>
      </c>
      <c r="F607" s="9"/>
      <c r="G607" s="9">
        <v>2017</v>
      </c>
      <c r="H607" s="10" t="str">
        <f>"382.65"</f>
        <v>382.65</v>
      </c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 t="str">
        <f>"291.06"</f>
        <v>291.06</v>
      </c>
      <c r="V607" s="10"/>
      <c r="W607" s="10" t="str">
        <f>"199.46"</f>
        <v>199.46</v>
      </c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  <c r="AO607" s="10"/>
    </row>
    <row r="608" spans="1:41">
      <c r="A608" s="8">
        <v>606</v>
      </c>
      <c r="B608" s="8">
        <v>10161</v>
      </c>
      <c r="C608" s="8" t="s">
        <v>788</v>
      </c>
      <c r="D608" s="8" t="s">
        <v>10</v>
      </c>
      <c r="E608" s="2" t="str">
        <f>"245.29"</f>
        <v>245.29</v>
      </c>
      <c r="F608" s="9"/>
      <c r="G608" s="9">
        <v>2017</v>
      </c>
      <c r="H608" s="10" t="str">
        <f>"288.65"</f>
        <v>288.65</v>
      </c>
      <c r="I608" s="10"/>
      <c r="J608" s="10"/>
      <c r="K608" s="10"/>
      <c r="L608" s="10"/>
      <c r="M608" s="10"/>
      <c r="N608" s="10"/>
      <c r="O608" s="10"/>
      <c r="P608" s="10"/>
      <c r="Q608" s="10" t="str">
        <f>"298.36"</f>
        <v>298.36</v>
      </c>
      <c r="R608" s="10" t="str">
        <f>"392.62"</f>
        <v>392.62</v>
      </c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 t="str">
        <f>"319.20"</f>
        <v>319.20</v>
      </c>
      <c r="AF608" s="10" t="str">
        <f>"335.00"</f>
        <v>335.00</v>
      </c>
      <c r="AG608" s="10"/>
      <c r="AH608" s="10"/>
      <c r="AI608" s="10"/>
      <c r="AJ608" s="10"/>
      <c r="AK608" s="10"/>
      <c r="AL608" s="10"/>
      <c r="AM608" s="10"/>
      <c r="AN608" s="10" t="str">
        <f>"246.84"</f>
        <v>246.84</v>
      </c>
      <c r="AO608" s="10" t="str">
        <f>"243.74"</f>
        <v>243.74</v>
      </c>
    </row>
    <row r="609" spans="1:41">
      <c r="A609" s="8">
        <v>607</v>
      </c>
      <c r="B609" s="8">
        <v>10005</v>
      </c>
      <c r="C609" s="8" t="s">
        <v>789</v>
      </c>
      <c r="D609" s="8" t="s">
        <v>57</v>
      </c>
      <c r="E609" s="2" t="str">
        <f>"246.17"</f>
        <v>246.17</v>
      </c>
      <c r="F609" s="9" t="s">
        <v>11</v>
      </c>
      <c r="G609" s="9">
        <v>2017</v>
      </c>
      <c r="H609" s="10" t="str">
        <f>"206.17"</f>
        <v>206.17</v>
      </c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</row>
    <row r="610" spans="1:41">
      <c r="A610" s="8">
        <v>608</v>
      </c>
      <c r="B610" s="8">
        <v>4219</v>
      </c>
      <c r="C610" s="8" t="s">
        <v>790</v>
      </c>
      <c r="D610" s="8" t="s">
        <v>49</v>
      </c>
      <c r="E610" s="2" t="str">
        <f>"246.38"</f>
        <v>246.38</v>
      </c>
      <c r="F610" s="9" t="s">
        <v>9</v>
      </c>
      <c r="G610" s="9">
        <v>2017</v>
      </c>
      <c r="H610" s="10" t="str">
        <f>"210.26"</f>
        <v>210.26</v>
      </c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 t="str">
        <f>"206.38"</f>
        <v>206.38</v>
      </c>
      <c r="AM610" s="10"/>
      <c r="AN610" s="10"/>
      <c r="AO610" s="10"/>
    </row>
    <row r="611" spans="1:41">
      <c r="A611" s="8">
        <v>609</v>
      </c>
      <c r="B611" s="8">
        <v>1413</v>
      </c>
      <c r="C611" s="8" t="s">
        <v>791</v>
      </c>
      <c r="D611" s="8" t="s">
        <v>14</v>
      </c>
      <c r="E611" s="2" t="str">
        <f>"247.08"</f>
        <v>247.08</v>
      </c>
      <c r="F611" s="9" t="s">
        <v>11</v>
      </c>
      <c r="G611" s="9">
        <v>2017</v>
      </c>
      <c r="H611" s="10" t="str">
        <f>"207.08"</f>
        <v>207.08</v>
      </c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  <c r="AN611" s="10"/>
      <c r="AO611" s="10"/>
    </row>
    <row r="612" spans="1:41">
      <c r="A612" s="8">
        <v>610</v>
      </c>
      <c r="B612" s="8">
        <v>1664</v>
      </c>
      <c r="C612" s="8" t="s">
        <v>792</v>
      </c>
      <c r="D612" s="8" t="s">
        <v>51</v>
      </c>
      <c r="E612" s="2" t="str">
        <f>"247.26"</f>
        <v>247.26</v>
      </c>
      <c r="F612" s="9" t="s">
        <v>11</v>
      </c>
      <c r="G612" s="9">
        <v>2017</v>
      </c>
      <c r="H612" s="10" t="str">
        <f>"207.26"</f>
        <v>207.26</v>
      </c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  <c r="AN612" s="10"/>
      <c r="AO612" s="10"/>
    </row>
    <row r="613" spans="1:41">
      <c r="A613" s="8">
        <v>611</v>
      </c>
      <c r="B613" s="8">
        <v>1260</v>
      </c>
      <c r="C613" s="8" t="s">
        <v>793</v>
      </c>
      <c r="D613" s="8" t="s">
        <v>78</v>
      </c>
      <c r="E613" s="2" t="str">
        <f>"247.51"</f>
        <v>247.51</v>
      </c>
      <c r="F613" s="9" t="s">
        <v>9</v>
      </c>
      <c r="G613" s="9">
        <v>2017</v>
      </c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 t="str">
        <f>"207.51"</f>
        <v>207.51</v>
      </c>
      <c r="AM613" s="10"/>
      <c r="AN613" s="10"/>
      <c r="AO613" s="10"/>
    </row>
    <row r="614" spans="1:41">
      <c r="A614" s="8">
        <v>612</v>
      </c>
      <c r="B614" s="8">
        <v>6697</v>
      </c>
      <c r="C614" s="8" t="s">
        <v>794</v>
      </c>
      <c r="D614" s="8" t="s">
        <v>592</v>
      </c>
      <c r="E614" s="2" t="str">
        <f>"247.82"</f>
        <v>247.82</v>
      </c>
      <c r="F614" s="9"/>
      <c r="G614" s="9">
        <v>2017</v>
      </c>
      <c r="H614" s="10" t="str">
        <f>"258.50"</f>
        <v>258.50</v>
      </c>
      <c r="I614" s="10"/>
      <c r="J614" s="10"/>
      <c r="K614" s="10"/>
      <c r="L614" s="10"/>
      <c r="M614" s="10" t="str">
        <f>"294.50"</f>
        <v>294.50</v>
      </c>
      <c r="N614" s="10"/>
      <c r="O614" s="10" t="str">
        <f>"244.04"</f>
        <v>244.04</v>
      </c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 t="str">
        <f>"251.60"</f>
        <v>251.60</v>
      </c>
      <c r="AH614" s="10" t="str">
        <f>"320.00"</f>
        <v>320.00</v>
      </c>
      <c r="AI614" s="10"/>
      <c r="AJ614" s="10"/>
      <c r="AK614" s="10"/>
      <c r="AL614" s="10" t="str">
        <f>"300.31"</f>
        <v>300.31</v>
      </c>
      <c r="AM614" s="10"/>
      <c r="AN614" s="10"/>
      <c r="AO614" s="10"/>
    </row>
    <row r="615" spans="1:41">
      <c r="A615" s="8">
        <v>613</v>
      </c>
      <c r="B615" s="8">
        <v>8504</v>
      </c>
      <c r="C615" s="8" t="s">
        <v>795</v>
      </c>
      <c r="D615" s="8" t="s">
        <v>10</v>
      </c>
      <c r="E615" s="2" t="str">
        <f>"248.32"</f>
        <v>248.32</v>
      </c>
      <c r="F615" s="9" t="s">
        <v>11</v>
      </c>
      <c r="G615" s="9">
        <v>2017</v>
      </c>
      <c r="H615" s="10" t="str">
        <f>"208.32"</f>
        <v>208.32</v>
      </c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  <c r="AN615" s="10"/>
      <c r="AO615" s="10"/>
    </row>
    <row r="616" spans="1:41">
      <c r="A616" s="8">
        <v>614</v>
      </c>
      <c r="B616" s="8">
        <v>1322</v>
      </c>
      <c r="C616" s="8" t="s">
        <v>796</v>
      </c>
      <c r="D616" s="8" t="s">
        <v>12</v>
      </c>
      <c r="E616" s="2" t="str">
        <f>"248.37"</f>
        <v>248.37</v>
      </c>
      <c r="F616" s="9"/>
      <c r="G616" s="9">
        <v>2017</v>
      </c>
      <c r="H616" s="10" t="str">
        <f>"226.91"</f>
        <v>226.91</v>
      </c>
      <c r="I616" s="10"/>
      <c r="J616" s="10"/>
      <c r="K616" s="10"/>
      <c r="L616" s="10"/>
      <c r="M616" s="10" t="str">
        <f>"225.79"</f>
        <v>225.79</v>
      </c>
      <c r="N616" s="10"/>
      <c r="O616" s="10" t="str">
        <f>"270.94"</f>
        <v>270.94</v>
      </c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</row>
    <row r="617" spans="1:41">
      <c r="A617" s="8">
        <v>615</v>
      </c>
      <c r="B617" s="8">
        <v>4873</v>
      </c>
      <c r="C617" s="8" t="s">
        <v>797</v>
      </c>
      <c r="D617" s="8" t="s">
        <v>64</v>
      </c>
      <c r="E617" s="2" t="str">
        <f>"249.09"</f>
        <v>249.09</v>
      </c>
      <c r="F617" s="9"/>
      <c r="G617" s="9">
        <v>2017</v>
      </c>
      <c r="H617" s="10" t="str">
        <f>"332.59"</f>
        <v>332.59</v>
      </c>
      <c r="I617" s="10"/>
      <c r="J617" s="10"/>
      <c r="K617" s="10"/>
      <c r="L617" s="10"/>
      <c r="M617" s="10"/>
      <c r="N617" s="10" t="str">
        <f>"272.74"</f>
        <v>272.74</v>
      </c>
      <c r="O617" s="10"/>
      <c r="P617" s="10" t="str">
        <f>"236.62"</f>
        <v>236.62</v>
      </c>
      <c r="Q617" s="10"/>
      <c r="R617" s="10"/>
      <c r="S617" s="10"/>
      <c r="T617" s="10" t="str">
        <f>"350.55"</f>
        <v>350.55</v>
      </c>
      <c r="U617" s="10"/>
      <c r="V617" s="10"/>
      <c r="W617" s="10"/>
      <c r="X617" s="10"/>
      <c r="Y617" s="10"/>
      <c r="Z617" s="10"/>
      <c r="AA617" s="10" t="str">
        <f>"261.55"</f>
        <v>261.55</v>
      </c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  <c r="AO617" s="10"/>
    </row>
    <row r="618" spans="1:41">
      <c r="A618" s="8">
        <v>616</v>
      </c>
      <c r="B618" s="8">
        <v>10267</v>
      </c>
      <c r="C618" s="8" t="s">
        <v>798</v>
      </c>
      <c r="D618" s="8" t="s">
        <v>19</v>
      </c>
      <c r="E618" s="2" t="str">
        <f>"249.21"</f>
        <v>249.21</v>
      </c>
      <c r="F618" s="9"/>
      <c r="G618" s="9">
        <v>2017</v>
      </c>
      <c r="H618" s="10" t="str">
        <f>"290.57"</f>
        <v>290.57</v>
      </c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 t="str">
        <f>"310.42"</f>
        <v>310.42</v>
      </c>
      <c r="Z618" s="10"/>
      <c r="AA618" s="10"/>
      <c r="AB618" s="10" t="str">
        <f>"275.02"</f>
        <v>275.02</v>
      </c>
      <c r="AC618" s="10"/>
      <c r="AD618" s="10"/>
      <c r="AE618" s="10"/>
      <c r="AF618" s="10"/>
      <c r="AG618" s="10" t="str">
        <f>"223.39"</f>
        <v>223.39</v>
      </c>
      <c r="AH618" s="10" t="str">
        <f>"276.94"</f>
        <v>276.94</v>
      </c>
      <c r="AI618" s="10"/>
      <c r="AJ618" s="10"/>
      <c r="AK618" s="10"/>
      <c r="AL618" s="10"/>
      <c r="AM618" s="10"/>
      <c r="AN618" s="10"/>
      <c r="AO618" s="10"/>
    </row>
    <row r="619" spans="1:41">
      <c r="A619" s="8">
        <v>617</v>
      </c>
      <c r="B619" s="8">
        <v>11010</v>
      </c>
      <c r="C619" s="8" t="s">
        <v>799</v>
      </c>
      <c r="D619" s="8" t="s">
        <v>361</v>
      </c>
      <c r="E619" s="2" t="str">
        <f>"249.32"</f>
        <v>249.32</v>
      </c>
      <c r="F619" s="9" t="s">
        <v>9</v>
      </c>
      <c r="G619" s="9">
        <v>2017</v>
      </c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 t="str">
        <f>"209.32"</f>
        <v>209.32</v>
      </c>
      <c r="AK619" s="10"/>
      <c r="AL619" s="10"/>
      <c r="AM619" s="10"/>
      <c r="AN619" s="10"/>
      <c r="AO619" s="10"/>
    </row>
    <row r="620" spans="1:41">
      <c r="A620" s="8">
        <v>618</v>
      </c>
      <c r="B620" s="8">
        <v>6129</v>
      </c>
      <c r="C620" s="8" t="s">
        <v>800</v>
      </c>
      <c r="D620" s="8" t="s">
        <v>75</v>
      </c>
      <c r="E620" s="2" t="str">
        <f>"249.33"</f>
        <v>249.33</v>
      </c>
      <c r="F620" s="9" t="s">
        <v>11</v>
      </c>
      <c r="G620" s="9">
        <v>2017</v>
      </c>
      <c r="H620" s="10" t="str">
        <f>"209.33"</f>
        <v>209.33</v>
      </c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  <c r="AM620" s="10"/>
      <c r="AN620" s="10"/>
      <c r="AO620" s="10"/>
    </row>
    <row r="621" spans="1:41">
      <c r="A621" s="8">
        <v>619</v>
      </c>
      <c r="B621" s="8">
        <v>10227</v>
      </c>
      <c r="C621" s="8" t="s">
        <v>801</v>
      </c>
      <c r="D621" s="8" t="s">
        <v>50</v>
      </c>
      <c r="E621" s="2" t="str">
        <f>"249.78"</f>
        <v>249.78</v>
      </c>
      <c r="F621" s="9"/>
      <c r="G621" s="9">
        <v>2017</v>
      </c>
      <c r="H621" s="10" t="str">
        <f>"310.37"</f>
        <v>310.37</v>
      </c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 t="str">
        <f>"310.36"</f>
        <v>310.36</v>
      </c>
      <c r="V621" s="10"/>
      <c r="W621" s="10" t="str">
        <f>"189.20"</f>
        <v>189.20</v>
      </c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  <c r="AM621" s="10"/>
      <c r="AN621" s="10"/>
      <c r="AO621" s="10"/>
    </row>
    <row r="622" spans="1:41">
      <c r="A622" s="8">
        <v>620</v>
      </c>
      <c r="B622" s="8">
        <v>2897</v>
      </c>
      <c r="C622" s="8" t="s">
        <v>802</v>
      </c>
      <c r="D622" s="8" t="s">
        <v>33</v>
      </c>
      <c r="E622" s="2" t="str">
        <f>"250.01"</f>
        <v>250.01</v>
      </c>
      <c r="F622" s="9" t="s">
        <v>11</v>
      </c>
      <c r="G622" s="9">
        <v>2017</v>
      </c>
      <c r="H622" s="10" t="str">
        <f>"210.01"</f>
        <v>210.01</v>
      </c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  <c r="AM622" s="10"/>
      <c r="AN622" s="10"/>
      <c r="AO622" s="10"/>
    </row>
    <row r="623" spans="1:41">
      <c r="A623" s="8">
        <v>621</v>
      </c>
      <c r="B623" s="8">
        <v>5720</v>
      </c>
      <c r="C623" s="8" t="s">
        <v>803</v>
      </c>
      <c r="D623" s="8" t="s">
        <v>43</v>
      </c>
      <c r="E623" s="2" t="str">
        <f>"250.02"</f>
        <v>250.02</v>
      </c>
      <c r="F623" s="9"/>
      <c r="G623" s="9">
        <v>2017</v>
      </c>
      <c r="H623" s="10" t="str">
        <f>"376.63"</f>
        <v>376.63</v>
      </c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 t="str">
        <f>"287.73"</f>
        <v>287.73</v>
      </c>
      <c r="AJ623" s="10" t="str">
        <f>"212.31"</f>
        <v>212.31</v>
      </c>
      <c r="AK623" s="10"/>
      <c r="AL623" s="10"/>
      <c r="AM623" s="10"/>
      <c r="AN623" s="10"/>
      <c r="AO623" s="10"/>
    </row>
    <row r="624" spans="1:41">
      <c r="A624" s="8">
        <v>622</v>
      </c>
      <c r="B624" s="8">
        <v>9648</v>
      </c>
      <c r="C624" s="8" t="s">
        <v>804</v>
      </c>
      <c r="D624" s="8" t="s">
        <v>75</v>
      </c>
      <c r="E624" s="2" t="str">
        <f>"250.30"</f>
        <v>250.30</v>
      </c>
      <c r="F624" s="9" t="s">
        <v>11</v>
      </c>
      <c r="G624" s="9">
        <v>2017</v>
      </c>
      <c r="H624" s="10" t="str">
        <f>"210.30"</f>
        <v>210.30</v>
      </c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  <c r="AM624" s="10"/>
      <c r="AN624" s="10"/>
      <c r="AO624" s="10"/>
    </row>
    <row r="625" spans="1:41">
      <c r="A625" s="8">
        <v>623</v>
      </c>
      <c r="B625" s="8">
        <v>6414</v>
      </c>
      <c r="C625" s="8" t="s">
        <v>805</v>
      </c>
      <c r="D625" s="8" t="s">
        <v>81</v>
      </c>
      <c r="E625" s="2" t="str">
        <f>"250.45"</f>
        <v>250.45</v>
      </c>
      <c r="F625" s="9"/>
      <c r="G625" s="9">
        <v>2017</v>
      </c>
      <c r="H625" s="10" t="str">
        <f>"356.31"</f>
        <v>356.31</v>
      </c>
      <c r="I625" s="10"/>
      <c r="J625" s="10"/>
      <c r="K625" s="10"/>
      <c r="L625" s="10"/>
      <c r="M625" s="10"/>
      <c r="N625" s="10" t="str">
        <f>"241.59"</f>
        <v>241.59</v>
      </c>
      <c r="O625" s="10"/>
      <c r="P625" s="10" t="str">
        <f>"259.31"</f>
        <v>259.31</v>
      </c>
      <c r="Q625" s="10"/>
      <c r="R625" s="10"/>
      <c r="S625" s="10"/>
      <c r="T625" s="10" t="str">
        <f>"292.43"</f>
        <v>292.43</v>
      </c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  <c r="AM625" s="10"/>
      <c r="AN625" s="10"/>
      <c r="AO625" s="10"/>
    </row>
    <row r="626" spans="1:41">
      <c r="A626" s="8">
        <v>624</v>
      </c>
      <c r="B626" s="8">
        <v>10390</v>
      </c>
      <c r="C626" s="8" t="s">
        <v>806</v>
      </c>
      <c r="D626" s="8" t="s">
        <v>19</v>
      </c>
      <c r="E626" s="2" t="str">
        <f>"250.59"</f>
        <v>250.59</v>
      </c>
      <c r="F626" s="9"/>
      <c r="G626" s="9">
        <v>2017</v>
      </c>
      <c r="H626" s="10" t="str">
        <f>"390.94"</f>
        <v>390.94</v>
      </c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 t="str">
        <f>"256.27"</f>
        <v>256.27</v>
      </c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  <c r="AM626" s="10" t="str">
        <f>"244.91"</f>
        <v>244.91</v>
      </c>
      <c r="AN626" s="10"/>
      <c r="AO626" s="10"/>
    </row>
    <row r="627" spans="1:41">
      <c r="A627" s="8">
        <v>625</v>
      </c>
      <c r="B627" s="8">
        <v>2264</v>
      </c>
      <c r="C627" s="8" t="s">
        <v>807</v>
      </c>
      <c r="D627" s="8" t="s">
        <v>10</v>
      </c>
      <c r="E627" s="2" t="str">
        <f>"250.61"</f>
        <v>250.61</v>
      </c>
      <c r="F627" s="9"/>
      <c r="G627" s="9">
        <v>2017</v>
      </c>
      <c r="H627" s="10" t="str">
        <f>"304.06"</f>
        <v>304.06</v>
      </c>
      <c r="I627" s="10"/>
      <c r="J627" s="10"/>
      <c r="K627" s="10"/>
      <c r="L627" s="10"/>
      <c r="M627" s="10"/>
      <c r="N627" s="10"/>
      <c r="O627" s="10"/>
      <c r="P627" s="10"/>
      <c r="Q627" s="10" t="str">
        <f>"316.63"</f>
        <v>316.63</v>
      </c>
      <c r="R627" s="10" t="str">
        <f>"331.06"</f>
        <v>331.06</v>
      </c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 t="str">
        <f>"270.30"</f>
        <v>270.30</v>
      </c>
      <c r="AF627" s="10" t="str">
        <f>"316.22"</f>
        <v>316.22</v>
      </c>
      <c r="AG627" s="10"/>
      <c r="AH627" s="10"/>
      <c r="AI627" s="10"/>
      <c r="AJ627" s="10"/>
      <c r="AK627" s="10"/>
      <c r="AL627" s="10" t="str">
        <f>"276.50"</f>
        <v>276.50</v>
      </c>
      <c r="AM627" s="10"/>
      <c r="AN627" s="10" t="str">
        <f>"243.93"</f>
        <v>243.93</v>
      </c>
      <c r="AO627" s="10" t="str">
        <f>"257.29"</f>
        <v>257.29</v>
      </c>
    </row>
    <row r="628" spans="1:41">
      <c r="A628" s="8">
        <v>626</v>
      </c>
      <c r="B628" s="8">
        <v>11354</v>
      </c>
      <c r="C628" s="8" t="s">
        <v>808</v>
      </c>
      <c r="D628" s="8" t="s">
        <v>80</v>
      </c>
      <c r="E628" s="2" t="str">
        <f>"250.64"</f>
        <v>250.64</v>
      </c>
      <c r="F628" s="9" t="s">
        <v>9</v>
      </c>
      <c r="G628" s="9">
        <v>2017</v>
      </c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 t="str">
        <f>"210.64"</f>
        <v>210.64</v>
      </c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  <c r="AM628" s="10"/>
      <c r="AN628" s="10"/>
      <c r="AO628" s="10"/>
    </row>
    <row r="629" spans="1:41">
      <c r="A629" s="8">
        <v>627</v>
      </c>
      <c r="B629" s="8">
        <v>10314</v>
      </c>
      <c r="C629" s="8" t="s">
        <v>809</v>
      </c>
      <c r="D629" s="8" t="s">
        <v>25</v>
      </c>
      <c r="E629" s="2" t="str">
        <f>"250.95"</f>
        <v>250.95</v>
      </c>
      <c r="F629" s="9" t="s">
        <v>11</v>
      </c>
      <c r="G629" s="9">
        <v>2017</v>
      </c>
      <c r="H629" s="10" t="str">
        <f>"210.95"</f>
        <v>210.95</v>
      </c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  <c r="AM629" s="10"/>
      <c r="AN629" s="10"/>
      <c r="AO629" s="10"/>
    </row>
    <row r="630" spans="1:41">
      <c r="A630" s="8">
        <v>628</v>
      </c>
      <c r="B630" s="8">
        <v>11344</v>
      </c>
      <c r="C630" s="8" t="s">
        <v>810</v>
      </c>
      <c r="D630" s="8" t="s">
        <v>38</v>
      </c>
      <c r="E630" s="2" t="str">
        <f>"251.00"</f>
        <v>251.00</v>
      </c>
      <c r="F630" s="9"/>
      <c r="G630" s="9">
        <v>2017</v>
      </c>
      <c r="H630" s="10"/>
      <c r="I630" s="10"/>
      <c r="J630" s="10"/>
      <c r="K630" s="10"/>
      <c r="L630" s="10"/>
      <c r="M630" s="10"/>
      <c r="N630" s="10" t="str">
        <f>"291.81"</f>
        <v>291.81</v>
      </c>
      <c r="O630" s="10"/>
      <c r="P630" s="10" t="str">
        <f>"259.46"</f>
        <v>259.46</v>
      </c>
      <c r="Q630" s="10"/>
      <c r="R630" s="10"/>
      <c r="S630" s="10"/>
      <c r="T630" s="10" t="str">
        <f>"353.88"</f>
        <v>353.88</v>
      </c>
      <c r="U630" s="10"/>
      <c r="V630" s="10"/>
      <c r="W630" s="10"/>
      <c r="X630" s="10"/>
      <c r="Y630" s="10"/>
      <c r="Z630" s="10"/>
      <c r="AA630" s="10" t="str">
        <f>"242.53"</f>
        <v>242.53</v>
      </c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  <c r="AN630" s="10"/>
      <c r="AO630" s="10"/>
    </row>
    <row r="631" spans="1:41">
      <c r="A631" s="8">
        <v>629</v>
      </c>
      <c r="B631" s="8">
        <v>10170</v>
      </c>
      <c r="C631" s="8" t="s">
        <v>811</v>
      </c>
      <c r="D631" s="8" t="s">
        <v>10</v>
      </c>
      <c r="E631" s="2" t="str">
        <f>"251.17"</f>
        <v>251.17</v>
      </c>
      <c r="F631" s="9"/>
      <c r="G631" s="9">
        <v>2017</v>
      </c>
      <c r="H631" s="10" t="str">
        <f>"325.58"</f>
        <v>325.58</v>
      </c>
      <c r="I631" s="10"/>
      <c r="J631" s="10"/>
      <c r="K631" s="10"/>
      <c r="L631" s="10"/>
      <c r="M631" s="10"/>
      <c r="N631" s="10"/>
      <c r="O631" s="10"/>
      <c r="P631" s="10"/>
      <c r="Q631" s="10" t="str">
        <f>"312.40"</f>
        <v>312.40</v>
      </c>
      <c r="R631" s="10" t="str">
        <f>"368.84"</f>
        <v>368.84</v>
      </c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 t="str">
        <f>"271.93"</f>
        <v>271.93</v>
      </c>
      <c r="AF631" s="10" t="str">
        <f>"353.03"</f>
        <v>353.03</v>
      </c>
      <c r="AG631" s="10"/>
      <c r="AH631" s="10"/>
      <c r="AI631" s="10"/>
      <c r="AJ631" s="10"/>
      <c r="AK631" s="10"/>
      <c r="AL631" s="10"/>
      <c r="AM631" s="10"/>
      <c r="AN631" s="10" t="str">
        <f>"234.40"</f>
        <v>234.40</v>
      </c>
      <c r="AO631" s="10" t="str">
        <f>"267.93"</f>
        <v>267.93</v>
      </c>
    </row>
    <row r="632" spans="1:41">
      <c r="A632" s="8">
        <v>630</v>
      </c>
      <c r="B632" s="8">
        <v>10109</v>
      </c>
      <c r="C632" s="8" t="s">
        <v>812</v>
      </c>
      <c r="D632" s="8" t="s">
        <v>33</v>
      </c>
      <c r="E632" s="2" t="str">
        <f>"251.25"</f>
        <v>251.25</v>
      </c>
      <c r="F632" s="9"/>
      <c r="G632" s="9">
        <v>2017</v>
      </c>
      <c r="H632" s="10"/>
      <c r="I632" s="10"/>
      <c r="J632" s="10"/>
      <c r="K632" s="10"/>
      <c r="L632" s="10"/>
      <c r="M632" s="10" t="str">
        <f>"289.33"</f>
        <v>289.33</v>
      </c>
      <c r="N632" s="10"/>
      <c r="O632" s="10" t="str">
        <f>"213.17"</f>
        <v>213.17</v>
      </c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  <c r="AN632" s="10"/>
      <c r="AO632" s="10"/>
    </row>
    <row r="633" spans="1:41">
      <c r="A633" s="8">
        <v>631</v>
      </c>
      <c r="B633" s="8">
        <v>11039</v>
      </c>
      <c r="C633" s="8" t="s">
        <v>813</v>
      </c>
      <c r="D633" s="8" t="s">
        <v>12</v>
      </c>
      <c r="E633" s="2" t="str">
        <f>"251.57"</f>
        <v>251.57</v>
      </c>
      <c r="F633" s="9" t="s">
        <v>9</v>
      </c>
      <c r="G633" s="9">
        <v>2017</v>
      </c>
      <c r="H633" s="10" t="str">
        <f>"319.47"</f>
        <v>319.47</v>
      </c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 t="str">
        <f>"211.57"</f>
        <v>211.57</v>
      </c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  <c r="AM633" s="10"/>
      <c r="AN633" s="10"/>
      <c r="AO633" s="10"/>
    </row>
    <row r="634" spans="1:41">
      <c r="A634" s="8">
        <v>632</v>
      </c>
      <c r="B634" s="8">
        <v>10592</v>
      </c>
      <c r="C634" s="8" t="s">
        <v>814</v>
      </c>
      <c r="D634" s="8" t="s">
        <v>10</v>
      </c>
      <c r="E634" s="2" t="str">
        <f>"251.92"</f>
        <v>251.92</v>
      </c>
      <c r="F634" s="9"/>
      <c r="G634" s="9">
        <v>2017</v>
      </c>
      <c r="H634" s="10" t="str">
        <f>"359.41"</f>
        <v>359.41</v>
      </c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 t="str">
        <f>"235.81"</f>
        <v>235.81</v>
      </c>
      <c r="AF634" s="10" t="str">
        <f>"268.03"</f>
        <v>268.03</v>
      </c>
      <c r="AG634" s="10"/>
      <c r="AH634" s="10"/>
      <c r="AI634" s="10"/>
      <c r="AJ634" s="10"/>
      <c r="AK634" s="10"/>
      <c r="AL634" s="10"/>
      <c r="AM634" s="10"/>
      <c r="AN634" s="10"/>
      <c r="AO634" s="10"/>
    </row>
    <row r="635" spans="1:41">
      <c r="A635" s="8">
        <v>633</v>
      </c>
      <c r="B635" s="8">
        <v>10117</v>
      </c>
      <c r="C635" s="8" t="s">
        <v>815</v>
      </c>
      <c r="D635" s="8" t="s">
        <v>10</v>
      </c>
      <c r="E635" s="2" t="str">
        <f>"252.36"</f>
        <v>252.36</v>
      </c>
      <c r="F635" s="9"/>
      <c r="G635" s="9">
        <v>2017</v>
      </c>
      <c r="H635" s="10" t="str">
        <f>"430.25"</f>
        <v>430.25</v>
      </c>
      <c r="I635" s="10"/>
      <c r="J635" s="10"/>
      <c r="K635" s="10"/>
      <c r="L635" s="10"/>
      <c r="M635" s="10"/>
      <c r="N635" s="10"/>
      <c r="O635" s="10"/>
      <c r="P635" s="10"/>
      <c r="Q635" s="10" t="str">
        <f>"439.08"</f>
        <v>439.08</v>
      </c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 t="str">
        <f>"254.33"</f>
        <v>254.33</v>
      </c>
      <c r="AJ635" s="10"/>
      <c r="AK635" s="10"/>
      <c r="AL635" s="10"/>
      <c r="AM635" s="10"/>
      <c r="AN635" s="10" t="str">
        <f>"264.18"</f>
        <v>264.18</v>
      </c>
      <c r="AO635" s="10" t="str">
        <f>"250.38"</f>
        <v>250.38</v>
      </c>
    </row>
    <row r="636" spans="1:41">
      <c r="A636" s="8">
        <v>634</v>
      </c>
      <c r="B636" s="8">
        <v>10204</v>
      </c>
      <c r="C636" s="8" t="s">
        <v>816</v>
      </c>
      <c r="D636" s="8" t="s">
        <v>10</v>
      </c>
      <c r="E636" s="2" t="str">
        <f>"252.73"</f>
        <v>252.73</v>
      </c>
      <c r="F636" s="9"/>
      <c r="G636" s="9">
        <v>2017</v>
      </c>
      <c r="H636" s="10" t="str">
        <f>"266.61"</f>
        <v>266.61</v>
      </c>
      <c r="I636" s="10"/>
      <c r="J636" s="10"/>
      <c r="K636" s="10"/>
      <c r="L636" s="10"/>
      <c r="M636" s="10"/>
      <c r="N636" s="10"/>
      <c r="O636" s="10"/>
      <c r="P636" s="10"/>
      <c r="Q636" s="10" t="str">
        <f>"292.09"</f>
        <v>292.09</v>
      </c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 t="str">
        <f>"271.72"</f>
        <v>271.72</v>
      </c>
      <c r="AF636" s="10" t="str">
        <f>"301.99"</f>
        <v>301.99</v>
      </c>
      <c r="AG636" s="10"/>
      <c r="AH636" s="10"/>
      <c r="AI636" s="10"/>
      <c r="AJ636" s="10"/>
      <c r="AK636" s="10"/>
      <c r="AL636" s="10"/>
      <c r="AM636" s="10"/>
      <c r="AN636" s="10" t="str">
        <f>"233.74"</f>
        <v>233.74</v>
      </c>
      <c r="AO636" s="10"/>
    </row>
    <row r="637" spans="1:41">
      <c r="A637" s="8">
        <v>635</v>
      </c>
      <c r="B637" s="8">
        <v>1275</v>
      </c>
      <c r="C637" s="8" t="s">
        <v>817</v>
      </c>
      <c r="D637" s="8" t="s">
        <v>72</v>
      </c>
      <c r="E637" s="2" t="str">
        <f>"253.18"</f>
        <v>253.18</v>
      </c>
      <c r="F637" s="9"/>
      <c r="G637" s="9">
        <v>2017</v>
      </c>
      <c r="H637" s="10" t="str">
        <f>"251.18"</f>
        <v>251.18</v>
      </c>
      <c r="I637" s="10"/>
      <c r="J637" s="10"/>
      <c r="K637" s="10"/>
      <c r="L637" s="10"/>
      <c r="M637" s="10"/>
      <c r="N637" s="10" t="str">
        <f>"245.98"</f>
        <v>245.98</v>
      </c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 t="str">
        <f>"260.38"</f>
        <v>260.38</v>
      </c>
      <c r="AH637" s="10" t="str">
        <f>"396.45"</f>
        <v>396.45</v>
      </c>
      <c r="AI637" s="10" t="str">
        <f>"328.01"</f>
        <v>328.01</v>
      </c>
      <c r="AJ637" s="10"/>
      <c r="AK637" s="10"/>
      <c r="AL637" s="10"/>
      <c r="AM637" s="10"/>
      <c r="AN637" s="10"/>
      <c r="AO637" s="10"/>
    </row>
    <row r="638" spans="1:41">
      <c r="A638" s="8">
        <v>636</v>
      </c>
      <c r="B638" s="8">
        <v>2540</v>
      </c>
      <c r="C638" s="8" t="s">
        <v>818</v>
      </c>
      <c r="D638" s="8" t="s">
        <v>20</v>
      </c>
      <c r="E638" s="2" t="str">
        <f>"253.37"</f>
        <v>253.37</v>
      </c>
      <c r="F638" s="9" t="s">
        <v>11</v>
      </c>
      <c r="G638" s="9">
        <v>2017</v>
      </c>
      <c r="H638" s="10" t="str">
        <f>"213.37"</f>
        <v>213.37</v>
      </c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  <c r="AM638" s="10"/>
      <c r="AN638" s="10"/>
      <c r="AO638" s="10"/>
    </row>
    <row r="639" spans="1:41">
      <c r="A639" s="8">
        <v>637</v>
      </c>
      <c r="B639" s="8">
        <v>10180</v>
      </c>
      <c r="C639" s="8" t="s">
        <v>819</v>
      </c>
      <c r="D639" s="8" t="s">
        <v>10</v>
      </c>
      <c r="E639" s="2" t="str">
        <f>"254.37"</f>
        <v>254.37</v>
      </c>
      <c r="F639" s="9"/>
      <c r="G639" s="9">
        <v>2017</v>
      </c>
      <c r="H639" s="10" t="str">
        <f>"421.57"</f>
        <v>421.57</v>
      </c>
      <c r="I639" s="10"/>
      <c r="J639" s="10"/>
      <c r="K639" s="10"/>
      <c r="L639" s="10"/>
      <c r="M639" s="10"/>
      <c r="N639" s="10"/>
      <c r="O639" s="10"/>
      <c r="P639" s="10"/>
      <c r="Q639" s="10" t="str">
        <f>"368.86"</f>
        <v>368.86</v>
      </c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 t="str">
        <f>"345.27"</f>
        <v>345.27</v>
      </c>
      <c r="AF639" s="10"/>
      <c r="AG639" s="10"/>
      <c r="AH639" s="10"/>
      <c r="AI639" s="10"/>
      <c r="AJ639" s="10"/>
      <c r="AK639" s="10"/>
      <c r="AL639" s="10"/>
      <c r="AM639" s="10"/>
      <c r="AN639" s="10" t="str">
        <f>"256.63"</f>
        <v>256.63</v>
      </c>
      <c r="AO639" s="10" t="str">
        <f>"252.11"</f>
        <v>252.11</v>
      </c>
    </row>
    <row r="640" spans="1:41">
      <c r="A640" s="8">
        <v>638</v>
      </c>
      <c r="B640" s="8">
        <v>10135</v>
      </c>
      <c r="C640" s="8" t="s">
        <v>820</v>
      </c>
      <c r="D640" s="8" t="s">
        <v>10</v>
      </c>
      <c r="E640" s="2" t="str">
        <f>"254.44"</f>
        <v>254.44</v>
      </c>
      <c r="F640" s="9"/>
      <c r="G640" s="9">
        <v>2017</v>
      </c>
      <c r="H640" s="10" t="str">
        <f>"257.47"</f>
        <v>257.47</v>
      </c>
      <c r="I640" s="10"/>
      <c r="J640" s="10"/>
      <c r="K640" s="10"/>
      <c r="L640" s="10"/>
      <c r="M640" s="10"/>
      <c r="N640" s="10"/>
      <c r="O640" s="10"/>
      <c r="P640" s="10"/>
      <c r="Q640" s="10" t="str">
        <f>"383.31"</f>
        <v>383.31</v>
      </c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 t="str">
        <f>"273.65"</f>
        <v>273.65</v>
      </c>
      <c r="AF640" s="10" t="str">
        <f>"332.16"</f>
        <v>332.16</v>
      </c>
      <c r="AG640" s="10"/>
      <c r="AH640" s="10"/>
      <c r="AI640" s="10"/>
      <c r="AJ640" s="10"/>
      <c r="AK640" s="10"/>
      <c r="AL640" s="10"/>
      <c r="AM640" s="10"/>
      <c r="AN640" s="10" t="str">
        <f>"259.68"</f>
        <v>259.68</v>
      </c>
      <c r="AO640" s="10" t="str">
        <f>"249.19"</f>
        <v>249.19</v>
      </c>
    </row>
    <row r="641" spans="1:41">
      <c r="A641" s="8">
        <v>639</v>
      </c>
      <c r="B641" s="8">
        <v>3219</v>
      </c>
      <c r="C641" s="8" t="s">
        <v>821</v>
      </c>
      <c r="D641" s="8" t="s">
        <v>822</v>
      </c>
      <c r="E641" s="2" t="str">
        <f>"254.74"</f>
        <v>254.74</v>
      </c>
      <c r="F641" s="9" t="s">
        <v>11</v>
      </c>
      <c r="G641" s="9">
        <v>2017</v>
      </c>
      <c r="H641" s="10" t="str">
        <f>"214.74"</f>
        <v>214.74</v>
      </c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  <c r="AM641" s="10"/>
      <c r="AN641" s="10"/>
      <c r="AO641" s="10"/>
    </row>
    <row r="642" spans="1:41">
      <c r="A642" s="8">
        <v>640</v>
      </c>
      <c r="B642" s="8">
        <v>10482</v>
      </c>
      <c r="C642" s="8" t="s">
        <v>823</v>
      </c>
      <c r="D642" s="8" t="s">
        <v>19</v>
      </c>
      <c r="E642" s="2" t="str">
        <f>"255.43"</f>
        <v>255.43</v>
      </c>
      <c r="F642" s="9" t="s">
        <v>9</v>
      </c>
      <c r="G642" s="9">
        <v>2017</v>
      </c>
      <c r="H642" s="10" t="str">
        <f>"370.37"</f>
        <v>370.37</v>
      </c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 t="str">
        <f>"215.43"</f>
        <v>215.43</v>
      </c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  <c r="AM642" s="10"/>
      <c r="AN642" s="10"/>
      <c r="AO642" s="10"/>
    </row>
    <row r="643" spans="1:41">
      <c r="A643" s="8">
        <v>641</v>
      </c>
      <c r="B643" s="8">
        <v>2836</v>
      </c>
      <c r="C643" s="8" t="s">
        <v>824</v>
      </c>
      <c r="D643" s="8" t="s">
        <v>40</v>
      </c>
      <c r="E643" s="2" t="str">
        <f>"255.59"</f>
        <v>255.59</v>
      </c>
      <c r="F643" s="9" t="s">
        <v>9</v>
      </c>
      <c r="G643" s="9">
        <v>2017</v>
      </c>
      <c r="H643" s="10"/>
      <c r="I643" s="10"/>
      <c r="J643" s="10"/>
      <c r="K643" s="10"/>
      <c r="L643" s="10"/>
      <c r="M643" s="10" t="str">
        <f>"215.59"</f>
        <v>215.59</v>
      </c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  <c r="AM643" s="10"/>
      <c r="AN643" s="10"/>
      <c r="AO643" s="10"/>
    </row>
    <row r="644" spans="1:41">
      <c r="A644" s="8">
        <v>642</v>
      </c>
      <c r="B644" s="8">
        <v>2214</v>
      </c>
      <c r="C644" s="8" t="s">
        <v>825</v>
      </c>
      <c r="D644" s="8" t="s">
        <v>78</v>
      </c>
      <c r="E644" s="2" t="str">
        <f>"255.66"</f>
        <v>255.66</v>
      </c>
      <c r="F644" s="9" t="s">
        <v>11</v>
      </c>
      <c r="G644" s="9">
        <v>2017</v>
      </c>
      <c r="H644" s="10" t="str">
        <f>"215.66"</f>
        <v>215.66</v>
      </c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  <c r="AM644" s="10"/>
      <c r="AN644" s="10"/>
      <c r="AO644" s="10"/>
    </row>
    <row r="645" spans="1:41">
      <c r="A645" s="8">
        <v>643</v>
      </c>
      <c r="B645" s="8">
        <v>9332</v>
      </c>
      <c r="C645" s="8" t="s">
        <v>826</v>
      </c>
      <c r="D645" s="8" t="s">
        <v>73</v>
      </c>
      <c r="E645" s="2" t="str">
        <f>"256.23"</f>
        <v>256.23</v>
      </c>
      <c r="F645" s="9"/>
      <c r="G645" s="9">
        <v>2017</v>
      </c>
      <c r="H645" s="10" t="str">
        <f>"193.61"</f>
        <v>193.61</v>
      </c>
      <c r="I645" s="10"/>
      <c r="J645" s="10"/>
      <c r="K645" s="10"/>
      <c r="L645" s="10"/>
      <c r="M645" s="10"/>
      <c r="N645" s="10" t="str">
        <f>"238.57"</f>
        <v>238.57</v>
      </c>
      <c r="O645" s="10"/>
      <c r="P645" s="10" t="str">
        <f>"273.88"</f>
        <v>273.88</v>
      </c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  <c r="AM645" s="10"/>
      <c r="AN645" s="10"/>
      <c r="AO645" s="10"/>
    </row>
    <row r="646" spans="1:41">
      <c r="A646" s="8">
        <v>644</v>
      </c>
      <c r="B646" s="8">
        <v>1434</v>
      </c>
      <c r="C646" s="8" t="s">
        <v>827</v>
      </c>
      <c r="D646" s="8" t="s">
        <v>75</v>
      </c>
      <c r="E646" s="2" t="str">
        <f>"256.29"</f>
        <v>256.29</v>
      </c>
      <c r="F646" s="9" t="s">
        <v>11</v>
      </c>
      <c r="G646" s="9">
        <v>2017</v>
      </c>
      <c r="H646" s="10" t="str">
        <f>"216.29"</f>
        <v>216.29</v>
      </c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  <c r="AM646" s="10"/>
      <c r="AN646" s="10"/>
      <c r="AO646" s="10"/>
    </row>
    <row r="647" spans="1:41">
      <c r="A647" s="8">
        <v>645</v>
      </c>
      <c r="B647" s="8">
        <v>2292</v>
      </c>
      <c r="C647" s="8" t="s">
        <v>828</v>
      </c>
      <c r="D647" s="8" t="s">
        <v>10</v>
      </c>
      <c r="E647" s="2" t="str">
        <f>"256.77"</f>
        <v>256.77</v>
      </c>
      <c r="F647" s="9" t="s">
        <v>11</v>
      </c>
      <c r="G647" s="9">
        <v>2017</v>
      </c>
      <c r="H647" s="10" t="str">
        <f>"216.77"</f>
        <v>216.77</v>
      </c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  <c r="AM647" s="10"/>
      <c r="AN647" s="10"/>
      <c r="AO647" s="10"/>
    </row>
    <row r="648" spans="1:41">
      <c r="A648" s="8">
        <v>646</v>
      </c>
      <c r="B648" s="8">
        <v>6971</v>
      </c>
      <c r="C648" s="8" t="s">
        <v>829</v>
      </c>
      <c r="D648" s="8" t="s">
        <v>49</v>
      </c>
      <c r="E648" s="2" t="str">
        <f>"256.79"</f>
        <v>256.79</v>
      </c>
      <c r="F648" s="9"/>
      <c r="G648" s="9">
        <v>2017</v>
      </c>
      <c r="H648" s="10" t="str">
        <f>"289.78"</f>
        <v>289.78</v>
      </c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 t="str">
        <f>"312.18"</f>
        <v>312.18</v>
      </c>
      <c r="T648" s="10"/>
      <c r="U648" s="10"/>
      <c r="V648" s="10"/>
      <c r="W648" s="10"/>
      <c r="X648" s="10"/>
      <c r="Y648" s="10"/>
      <c r="Z648" s="10" t="str">
        <f>"201.39"</f>
        <v>201.39</v>
      </c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  <c r="AM648" s="10"/>
      <c r="AN648" s="10"/>
      <c r="AO648" s="10"/>
    </row>
    <row r="649" spans="1:41">
      <c r="A649" s="8">
        <v>647</v>
      </c>
      <c r="B649" s="8">
        <v>7651</v>
      </c>
      <c r="C649" s="8" t="s">
        <v>830</v>
      </c>
      <c r="D649" s="8" t="s">
        <v>78</v>
      </c>
      <c r="E649" s="2" t="str">
        <f>"258.29"</f>
        <v>258.29</v>
      </c>
      <c r="F649" s="9"/>
      <c r="G649" s="9">
        <v>2017</v>
      </c>
      <c r="H649" s="10" t="str">
        <f>"326.22"</f>
        <v>326.22</v>
      </c>
      <c r="I649" s="10"/>
      <c r="J649" s="10"/>
      <c r="K649" s="10"/>
      <c r="L649" s="10"/>
      <c r="M649" s="10"/>
      <c r="N649" s="10" t="str">
        <f>"289.20"</f>
        <v>289.20</v>
      </c>
      <c r="O649" s="10"/>
      <c r="P649" s="10" t="str">
        <f>"232.12"</f>
        <v>232.12</v>
      </c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 t="str">
        <f>"284.45"</f>
        <v>284.45</v>
      </c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  <c r="AM649" s="10"/>
      <c r="AN649" s="10"/>
      <c r="AO649" s="10"/>
    </row>
    <row r="650" spans="1:41">
      <c r="A650" s="8">
        <v>648</v>
      </c>
      <c r="B650" s="8">
        <v>8709</v>
      </c>
      <c r="C650" s="8" t="s">
        <v>831</v>
      </c>
      <c r="D650" s="8" t="s">
        <v>33</v>
      </c>
      <c r="E650" s="2" t="str">
        <f>"258.34"</f>
        <v>258.34</v>
      </c>
      <c r="F650" s="9" t="s">
        <v>11</v>
      </c>
      <c r="G650" s="9">
        <v>2017</v>
      </c>
      <c r="H650" s="10" t="str">
        <f>"218.34"</f>
        <v>218.34</v>
      </c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  <c r="AM650" s="10"/>
      <c r="AN650" s="10"/>
      <c r="AO650" s="10"/>
    </row>
    <row r="651" spans="1:41">
      <c r="A651" s="8">
        <v>649</v>
      </c>
      <c r="B651" s="8">
        <v>1349</v>
      </c>
      <c r="C651" s="8" t="s">
        <v>832</v>
      </c>
      <c r="D651" s="8" t="s">
        <v>63</v>
      </c>
      <c r="E651" s="2" t="str">
        <f>"258.55"</f>
        <v>258.55</v>
      </c>
      <c r="F651" s="9"/>
      <c r="G651" s="9">
        <v>2017</v>
      </c>
      <c r="H651" s="10" t="str">
        <f>"229.41"</f>
        <v>229.41</v>
      </c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 t="str">
        <f>"255.06"</f>
        <v>255.06</v>
      </c>
      <c r="AB651" s="10"/>
      <c r="AC651" s="10"/>
      <c r="AD651" s="10"/>
      <c r="AE651" s="10"/>
      <c r="AF651" s="10"/>
      <c r="AG651" s="10"/>
      <c r="AH651" s="10"/>
      <c r="AI651" s="10"/>
      <c r="AJ651" s="10"/>
      <c r="AK651" s="10" t="str">
        <f>"262.03"</f>
        <v>262.03</v>
      </c>
      <c r="AL651" s="10"/>
      <c r="AM651" s="10"/>
      <c r="AN651" s="10"/>
      <c r="AO651" s="10"/>
    </row>
    <row r="652" spans="1:41">
      <c r="A652" s="8">
        <v>650</v>
      </c>
      <c r="B652" s="8">
        <v>5337</v>
      </c>
      <c r="C652" s="8" t="s">
        <v>833</v>
      </c>
      <c r="D652" s="8" t="s">
        <v>59</v>
      </c>
      <c r="E652" s="2" t="str">
        <f>"258.78"</f>
        <v>258.78</v>
      </c>
      <c r="F652" s="9"/>
      <c r="G652" s="9">
        <v>2017</v>
      </c>
      <c r="H652" s="10" t="str">
        <f>"310.07"</f>
        <v>310.07</v>
      </c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 t="str">
        <f>"357.10"</f>
        <v>357.10</v>
      </c>
      <c r="V652" s="10"/>
      <c r="W652" s="10"/>
      <c r="X652" s="10" t="str">
        <f>"344.91"</f>
        <v>344.91</v>
      </c>
      <c r="Y652" s="10"/>
      <c r="Z652" s="10"/>
      <c r="AA652" s="10"/>
      <c r="AB652" s="10"/>
      <c r="AC652" s="10"/>
      <c r="AD652" s="10"/>
      <c r="AE652" s="10"/>
      <c r="AF652" s="10"/>
      <c r="AG652" s="10"/>
      <c r="AH652" s="10" t="str">
        <f>"257.39"</f>
        <v>257.39</v>
      </c>
      <c r="AI652" s="10"/>
      <c r="AJ652" s="10"/>
      <c r="AK652" s="10"/>
      <c r="AL652" s="10"/>
      <c r="AM652" s="10" t="str">
        <f>"260.16"</f>
        <v>260.16</v>
      </c>
      <c r="AN652" s="10"/>
      <c r="AO652" s="10"/>
    </row>
    <row r="653" spans="1:41">
      <c r="A653" s="8">
        <v>651</v>
      </c>
      <c r="B653" s="8">
        <v>10689</v>
      </c>
      <c r="C653" s="8" t="s">
        <v>834</v>
      </c>
      <c r="D653" s="8" t="s">
        <v>14</v>
      </c>
      <c r="E653" s="2" t="str">
        <f>"258.79"</f>
        <v>258.79</v>
      </c>
      <c r="F653" s="9"/>
      <c r="G653" s="9">
        <v>2017</v>
      </c>
      <c r="H653" s="10" t="str">
        <f>"322.79"</f>
        <v>322.79</v>
      </c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 t="str">
        <f>"251.01"</f>
        <v>251.01</v>
      </c>
      <c r="AH653" s="10"/>
      <c r="AI653" s="10"/>
      <c r="AJ653" s="10"/>
      <c r="AK653" s="10"/>
      <c r="AL653" s="10" t="str">
        <f>"266.57"</f>
        <v>266.57</v>
      </c>
      <c r="AM653" s="10"/>
      <c r="AN653" s="10"/>
      <c r="AO653" s="10"/>
    </row>
    <row r="654" spans="1:41">
      <c r="A654" s="8">
        <v>652</v>
      </c>
      <c r="B654" s="8">
        <v>2291</v>
      </c>
      <c r="C654" s="8" t="s">
        <v>835</v>
      </c>
      <c r="D654" s="8" t="s">
        <v>10</v>
      </c>
      <c r="E654" s="2" t="str">
        <f>"259.49"</f>
        <v>259.49</v>
      </c>
      <c r="F654" s="9"/>
      <c r="G654" s="9">
        <v>2017</v>
      </c>
      <c r="H654" s="10" t="str">
        <f>"265.73"</f>
        <v>265.73</v>
      </c>
      <c r="I654" s="10"/>
      <c r="J654" s="10"/>
      <c r="K654" s="10"/>
      <c r="L654" s="10"/>
      <c r="M654" s="10"/>
      <c r="N654" s="10"/>
      <c r="O654" s="10"/>
      <c r="P654" s="10"/>
      <c r="Q654" s="10" t="str">
        <f>"295.63"</f>
        <v>295.63</v>
      </c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 t="str">
        <f>"223.34"</f>
        <v>223.34</v>
      </c>
      <c r="AF654" s="10"/>
      <c r="AG654" s="10"/>
      <c r="AH654" s="10"/>
      <c r="AI654" s="10"/>
      <c r="AJ654" s="10"/>
      <c r="AK654" s="10"/>
      <c r="AL654" s="10"/>
      <c r="AM654" s="10"/>
      <c r="AN654" s="10"/>
      <c r="AO654" s="10"/>
    </row>
    <row r="655" spans="1:41">
      <c r="A655" s="8">
        <v>653</v>
      </c>
      <c r="B655" s="8">
        <v>10383</v>
      </c>
      <c r="C655" s="8" t="s">
        <v>836</v>
      </c>
      <c r="D655" s="8" t="s">
        <v>19</v>
      </c>
      <c r="E655" s="2" t="str">
        <f>"259.52"</f>
        <v>259.52</v>
      </c>
      <c r="F655" s="9" t="s">
        <v>9</v>
      </c>
      <c r="G655" s="9">
        <v>2017</v>
      </c>
      <c r="H655" s="10" t="str">
        <f>"249.25"</f>
        <v>249.25</v>
      </c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 t="str">
        <f>"219.52"</f>
        <v>219.52</v>
      </c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  <c r="AM655" s="10"/>
      <c r="AN655" s="10"/>
      <c r="AO655" s="10"/>
    </row>
    <row r="656" spans="1:41">
      <c r="A656" s="8">
        <v>654</v>
      </c>
      <c r="B656" s="8">
        <v>7633</v>
      </c>
      <c r="C656" s="8" t="s">
        <v>837</v>
      </c>
      <c r="D656" s="8" t="s">
        <v>22</v>
      </c>
      <c r="E656" s="2" t="str">
        <f>"259.55"</f>
        <v>259.55</v>
      </c>
      <c r="F656" s="9" t="s">
        <v>11</v>
      </c>
      <c r="G656" s="9">
        <v>2017</v>
      </c>
      <c r="H656" s="10" t="str">
        <f>"219.55"</f>
        <v>219.55</v>
      </c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  <c r="AM656" s="10"/>
      <c r="AN656" s="10"/>
      <c r="AO656" s="10"/>
    </row>
    <row r="657" spans="1:41">
      <c r="A657" s="8">
        <v>655</v>
      </c>
      <c r="B657" s="8">
        <v>1006</v>
      </c>
      <c r="C657" s="8" t="s">
        <v>838</v>
      </c>
      <c r="D657" s="8" t="s">
        <v>422</v>
      </c>
      <c r="E657" s="2" t="str">
        <f>"260.59"</f>
        <v>260.59</v>
      </c>
      <c r="F657" s="9" t="s">
        <v>11</v>
      </c>
      <c r="G657" s="9">
        <v>2017</v>
      </c>
      <c r="H657" s="10" t="str">
        <f>"220.59"</f>
        <v>220.59</v>
      </c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  <c r="AM657" s="10"/>
      <c r="AN657" s="10"/>
      <c r="AO657" s="10"/>
    </row>
    <row r="658" spans="1:41">
      <c r="A658" s="8">
        <v>656</v>
      </c>
      <c r="B658" s="8">
        <v>3010</v>
      </c>
      <c r="C658" s="8" t="s">
        <v>839</v>
      </c>
      <c r="D658" s="8" t="s">
        <v>63</v>
      </c>
      <c r="E658" s="2" t="str">
        <f>"260.63"</f>
        <v>260.63</v>
      </c>
      <c r="F658" s="9" t="s">
        <v>9</v>
      </c>
      <c r="G658" s="9">
        <v>2017</v>
      </c>
      <c r="H658" s="10" t="str">
        <f>"210.65"</f>
        <v>210.65</v>
      </c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 t="str">
        <f>"220.63"</f>
        <v>220.63</v>
      </c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  <c r="AM658" s="10"/>
      <c r="AN658" s="10"/>
      <c r="AO658" s="10"/>
    </row>
    <row r="659" spans="1:41">
      <c r="A659" s="8">
        <v>657</v>
      </c>
      <c r="B659" s="8">
        <v>10614</v>
      </c>
      <c r="C659" s="8" t="s">
        <v>840</v>
      </c>
      <c r="D659" s="8" t="s">
        <v>10</v>
      </c>
      <c r="E659" s="2" t="str">
        <f>"260.72"</f>
        <v>260.72</v>
      </c>
      <c r="F659" s="9" t="s">
        <v>11</v>
      </c>
      <c r="G659" s="9">
        <v>2017</v>
      </c>
      <c r="H659" s="10" t="str">
        <f>"220.72"</f>
        <v>220.72</v>
      </c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  <c r="AN659" s="10"/>
      <c r="AO659" s="10"/>
    </row>
    <row r="660" spans="1:41">
      <c r="A660" s="8">
        <v>658</v>
      </c>
      <c r="B660" s="8">
        <v>10151</v>
      </c>
      <c r="C660" s="8" t="s">
        <v>841</v>
      </c>
      <c r="D660" s="8" t="s">
        <v>10</v>
      </c>
      <c r="E660" s="2" t="str">
        <f>"260.93"</f>
        <v>260.93</v>
      </c>
      <c r="F660" s="9"/>
      <c r="G660" s="9">
        <v>2017</v>
      </c>
      <c r="H660" s="10" t="str">
        <f>"314.90"</f>
        <v>314.90</v>
      </c>
      <c r="I660" s="10"/>
      <c r="J660" s="10"/>
      <c r="K660" s="10"/>
      <c r="L660" s="10"/>
      <c r="M660" s="10"/>
      <c r="N660" s="10"/>
      <c r="O660" s="10"/>
      <c r="P660" s="10"/>
      <c r="Q660" s="10" t="str">
        <f>"358.36"</f>
        <v>358.36</v>
      </c>
      <c r="R660" s="10" t="str">
        <f>"434.73"</f>
        <v>434.73</v>
      </c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 t="str">
        <f>"265.84"</f>
        <v>265.84</v>
      </c>
      <c r="AF660" s="10" t="str">
        <f>"327.79"</f>
        <v>327.79</v>
      </c>
      <c r="AG660" s="10"/>
      <c r="AH660" s="10"/>
      <c r="AI660" s="10" t="str">
        <f>"256.01"</f>
        <v>256.01</v>
      </c>
      <c r="AJ660" s="10"/>
      <c r="AK660" s="10"/>
      <c r="AL660" s="10"/>
      <c r="AM660" s="10"/>
      <c r="AN660" s="10"/>
      <c r="AO660" s="10"/>
    </row>
    <row r="661" spans="1:41">
      <c r="A661" s="8">
        <v>659</v>
      </c>
      <c r="B661" s="8">
        <v>7169</v>
      </c>
      <c r="C661" s="8" t="s">
        <v>842</v>
      </c>
      <c r="D661" s="8" t="s">
        <v>60</v>
      </c>
      <c r="E661" s="2" t="str">
        <f>"260.94"</f>
        <v>260.94</v>
      </c>
      <c r="F661" s="9"/>
      <c r="G661" s="9">
        <v>2017</v>
      </c>
      <c r="H661" s="10"/>
      <c r="I661" s="10"/>
      <c r="J661" s="10" t="str">
        <f>"241.13"</f>
        <v>241.13</v>
      </c>
      <c r="K661" s="10"/>
      <c r="L661" s="10" t="str">
        <f>"290.87"</f>
        <v>290.87</v>
      </c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 t="str">
        <f>"280.75"</f>
        <v>280.75</v>
      </c>
      <c r="AK661" s="10"/>
      <c r="AL661" s="10"/>
      <c r="AM661" s="10"/>
      <c r="AN661" s="10"/>
      <c r="AO661" s="10"/>
    </row>
    <row r="662" spans="1:41">
      <c r="A662" s="8">
        <v>660</v>
      </c>
      <c r="B662" s="8">
        <v>2213</v>
      </c>
      <c r="C662" s="8" t="s">
        <v>843</v>
      </c>
      <c r="D662" s="8" t="s">
        <v>254</v>
      </c>
      <c r="E662" s="2" t="str">
        <f>"261.10"</f>
        <v>261.10</v>
      </c>
      <c r="F662" s="9" t="s">
        <v>11</v>
      </c>
      <c r="G662" s="9">
        <v>2017</v>
      </c>
      <c r="H662" s="10" t="str">
        <f>"221.10"</f>
        <v>221.10</v>
      </c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  <c r="AM662" s="10"/>
      <c r="AN662" s="10"/>
      <c r="AO662" s="10"/>
    </row>
    <row r="663" spans="1:41">
      <c r="A663" s="8">
        <v>661</v>
      </c>
      <c r="B663" s="8">
        <v>11420</v>
      </c>
      <c r="C663" s="8" t="s">
        <v>844</v>
      </c>
      <c r="D663" s="8" t="s">
        <v>12</v>
      </c>
      <c r="E663" s="2" t="str">
        <f>"261.70"</f>
        <v>261.70</v>
      </c>
      <c r="F663" s="9" t="s">
        <v>9</v>
      </c>
      <c r="G663" s="9">
        <v>2017</v>
      </c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 t="str">
        <f>"221.70"</f>
        <v>221.70</v>
      </c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  <c r="AM663" s="10"/>
      <c r="AN663" s="10"/>
      <c r="AO663" s="10"/>
    </row>
    <row r="664" spans="1:41">
      <c r="A664" s="8">
        <v>662</v>
      </c>
      <c r="B664" s="8">
        <v>5145</v>
      </c>
      <c r="C664" s="8" t="s">
        <v>845</v>
      </c>
      <c r="D664" s="8" t="s">
        <v>22</v>
      </c>
      <c r="E664" s="2" t="str">
        <f>"261.71"</f>
        <v>261.71</v>
      </c>
      <c r="F664" s="9"/>
      <c r="G664" s="9">
        <v>2017</v>
      </c>
      <c r="H664" s="10" t="str">
        <f>"177.14"</f>
        <v>177.14</v>
      </c>
      <c r="I664" s="10"/>
      <c r="J664" s="10"/>
      <c r="K664" s="10"/>
      <c r="L664" s="10"/>
      <c r="M664" s="10"/>
      <c r="N664" s="10"/>
      <c r="O664" s="10" t="str">
        <f>"216.64"</f>
        <v>216.64</v>
      </c>
      <c r="P664" s="10"/>
      <c r="Q664" s="10"/>
      <c r="R664" s="10"/>
      <c r="S664" s="10"/>
      <c r="T664" s="10" t="str">
        <f>"306.77"</f>
        <v>306.77</v>
      </c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  <c r="AM664" s="10"/>
      <c r="AN664" s="10"/>
      <c r="AO664" s="10"/>
    </row>
    <row r="665" spans="1:41">
      <c r="A665" s="8">
        <v>663</v>
      </c>
      <c r="B665" s="8">
        <v>2329</v>
      </c>
      <c r="C665" s="8" t="s">
        <v>846</v>
      </c>
      <c r="D665" s="8" t="s">
        <v>38</v>
      </c>
      <c r="E665" s="2" t="str">
        <f>"262.85"</f>
        <v>262.85</v>
      </c>
      <c r="F665" s="9"/>
      <c r="G665" s="9">
        <v>2017</v>
      </c>
      <c r="H665" s="10" t="str">
        <f>"299.88"</f>
        <v>299.88</v>
      </c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 t="str">
        <f>"263.89"</f>
        <v>263.89</v>
      </c>
      <c r="U665" s="10"/>
      <c r="V665" s="10"/>
      <c r="W665" s="10"/>
      <c r="X665" s="10"/>
      <c r="Y665" s="10"/>
      <c r="Z665" s="10"/>
      <c r="AA665" s="10"/>
      <c r="AB665" s="10"/>
      <c r="AC665" s="10" t="str">
        <f>"261.80"</f>
        <v>261.80</v>
      </c>
      <c r="AD665" s="10" t="str">
        <f>"309.46"</f>
        <v>309.46</v>
      </c>
      <c r="AE665" s="10"/>
      <c r="AF665" s="10"/>
      <c r="AG665" s="10"/>
      <c r="AH665" s="10"/>
      <c r="AI665" s="10"/>
      <c r="AJ665" s="10"/>
      <c r="AK665" s="10"/>
      <c r="AL665" s="10"/>
      <c r="AM665" s="10"/>
      <c r="AN665" s="10"/>
      <c r="AO665" s="10"/>
    </row>
    <row r="666" spans="1:41">
      <c r="A666" s="8">
        <v>664</v>
      </c>
      <c r="B666" s="8">
        <v>10723</v>
      </c>
      <c r="C666" s="8" t="s">
        <v>847</v>
      </c>
      <c r="D666" s="8" t="s">
        <v>19</v>
      </c>
      <c r="E666" s="2" t="str">
        <f>"262.97"</f>
        <v>262.97</v>
      </c>
      <c r="F666" s="9"/>
      <c r="G666" s="9">
        <v>2017</v>
      </c>
      <c r="H666" s="10" t="str">
        <f>"552.06"</f>
        <v>552.06</v>
      </c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 t="str">
        <f>"223.62"</f>
        <v>223.62</v>
      </c>
      <c r="AJ666" s="10"/>
      <c r="AK666" s="10"/>
      <c r="AL666" s="10"/>
      <c r="AM666" s="10" t="str">
        <f>"302.32"</f>
        <v>302.32</v>
      </c>
      <c r="AN666" s="10"/>
      <c r="AO666" s="10"/>
    </row>
    <row r="667" spans="1:41">
      <c r="A667" s="8">
        <v>665</v>
      </c>
      <c r="B667" s="8">
        <v>10483</v>
      </c>
      <c r="C667" s="8" t="s">
        <v>848</v>
      </c>
      <c r="D667" s="8" t="s">
        <v>19</v>
      </c>
      <c r="E667" s="2" t="str">
        <f>"263.23"</f>
        <v>263.23</v>
      </c>
      <c r="F667" s="9" t="s">
        <v>9</v>
      </c>
      <c r="G667" s="9">
        <v>2017</v>
      </c>
      <c r="H667" s="10" t="str">
        <f>"212.78"</f>
        <v>212.78</v>
      </c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 t="str">
        <f>"223.23"</f>
        <v>223.23</v>
      </c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  <c r="AN667" s="10"/>
      <c r="AO667" s="10"/>
    </row>
    <row r="668" spans="1:41">
      <c r="A668" s="8">
        <v>666</v>
      </c>
      <c r="B668" s="8">
        <v>5379</v>
      </c>
      <c r="C668" s="8" t="s">
        <v>849</v>
      </c>
      <c r="D668" s="8" t="s">
        <v>50</v>
      </c>
      <c r="E668" s="2" t="str">
        <f>"263.76"</f>
        <v>263.76</v>
      </c>
      <c r="F668" s="9"/>
      <c r="G668" s="9">
        <v>2017</v>
      </c>
      <c r="H668" s="10" t="str">
        <f>"276.49"</f>
        <v>276.49</v>
      </c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 t="str">
        <f>"264.86"</f>
        <v>264.86</v>
      </c>
      <c r="V668" s="10"/>
      <c r="W668" s="10"/>
      <c r="X668" s="10" t="str">
        <f>"262.66"</f>
        <v>262.66</v>
      </c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  <c r="AN668" s="10"/>
      <c r="AO668" s="10"/>
    </row>
    <row r="669" spans="1:41">
      <c r="A669" s="8">
        <v>667</v>
      </c>
      <c r="B669" s="8">
        <v>4885</v>
      </c>
      <c r="C669" s="8" t="s">
        <v>850</v>
      </c>
      <c r="D669" s="8" t="s">
        <v>12</v>
      </c>
      <c r="E669" s="2" t="str">
        <f>"263.82"</f>
        <v>263.82</v>
      </c>
      <c r="F669" s="9" t="s">
        <v>9</v>
      </c>
      <c r="G669" s="9">
        <v>2017</v>
      </c>
      <c r="H669" s="10" t="str">
        <f>"208.41"</f>
        <v>208.41</v>
      </c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 t="str">
        <f>"223.82"</f>
        <v>223.82</v>
      </c>
      <c r="AM669" s="10"/>
      <c r="AN669" s="10"/>
      <c r="AO669" s="10"/>
    </row>
    <row r="670" spans="1:41">
      <c r="A670" s="8">
        <v>668</v>
      </c>
      <c r="B670" s="8">
        <v>11256</v>
      </c>
      <c r="C670" s="8" t="s">
        <v>851</v>
      </c>
      <c r="D670" s="8" t="s">
        <v>10</v>
      </c>
      <c r="E670" s="2" t="str">
        <f>"264.43"</f>
        <v>264.43</v>
      </c>
      <c r="F670" s="9"/>
      <c r="G670" s="9">
        <v>2017</v>
      </c>
      <c r="H670" s="10"/>
      <c r="I670" s="10"/>
      <c r="J670" s="10"/>
      <c r="K670" s="10"/>
      <c r="L670" s="10"/>
      <c r="M670" s="10"/>
      <c r="N670" s="10"/>
      <c r="O670" s="10"/>
      <c r="P670" s="10"/>
      <c r="Q670" s="10" t="str">
        <f>"313.36"</f>
        <v>313.36</v>
      </c>
      <c r="R670" s="10" t="str">
        <f>"353.08"</f>
        <v>353.08</v>
      </c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 t="str">
        <f>"236.93"</f>
        <v>236.93</v>
      </c>
      <c r="AF670" s="10" t="str">
        <f>"291.93"</f>
        <v>291.93</v>
      </c>
      <c r="AG670" s="10"/>
      <c r="AH670" s="10"/>
      <c r="AI670" s="10"/>
      <c r="AJ670" s="10"/>
      <c r="AK670" s="10"/>
      <c r="AL670" s="10"/>
      <c r="AM670" s="10"/>
      <c r="AN670" s="10"/>
      <c r="AO670" s="10"/>
    </row>
    <row r="671" spans="1:41">
      <c r="A671" s="8">
        <v>669</v>
      </c>
      <c r="B671" s="8">
        <v>10174</v>
      </c>
      <c r="C671" s="8" t="s">
        <v>852</v>
      </c>
      <c r="D671" s="8" t="s">
        <v>10</v>
      </c>
      <c r="E671" s="2" t="str">
        <f>"264.53"</f>
        <v>264.53</v>
      </c>
      <c r="F671" s="9"/>
      <c r="G671" s="9">
        <v>2017</v>
      </c>
      <c r="H671" s="10" t="str">
        <f>"571.25"</f>
        <v>571.25</v>
      </c>
      <c r="I671" s="10"/>
      <c r="J671" s="10"/>
      <c r="K671" s="10"/>
      <c r="L671" s="10"/>
      <c r="M671" s="10"/>
      <c r="N671" s="10"/>
      <c r="O671" s="10"/>
      <c r="P671" s="10"/>
      <c r="Q671" s="10" t="str">
        <f>"413.44"</f>
        <v>413.44</v>
      </c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 t="str">
        <f>"260.77"</f>
        <v>260.77</v>
      </c>
      <c r="AF671" s="10" t="str">
        <f>"340.70"</f>
        <v>340.70</v>
      </c>
      <c r="AG671" s="10"/>
      <c r="AH671" s="10"/>
      <c r="AI671" s="10"/>
      <c r="AJ671" s="10"/>
      <c r="AK671" s="10"/>
      <c r="AL671" s="10" t="str">
        <f>"348.87"</f>
        <v>348.87</v>
      </c>
      <c r="AM671" s="10"/>
      <c r="AN671" s="10" t="str">
        <f>"268.28"</f>
        <v>268.28</v>
      </c>
      <c r="AO671" s="10" t="str">
        <f>"275.77"</f>
        <v>275.77</v>
      </c>
    </row>
    <row r="672" spans="1:41">
      <c r="A672" s="8">
        <v>670</v>
      </c>
      <c r="B672" s="8">
        <v>10854</v>
      </c>
      <c r="C672" s="8" t="s">
        <v>853</v>
      </c>
      <c r="D672" s="8" t="s">
        <v>10</v>
      </c>
      <c r="E672" s="2" t="str">
        <f>"264.54"</f>
        <v>264.54</v>
      </c>
      <c r="F672" s="9"/>
      <c r="G672" s="9">
        <v>2017</v>
      </c>
      <c r="H672" s="10" t="str">
        <f>"432.73"</f>
        <v>432.73</v>
      </c>
      <c r="I672" s="10"/>
      <c r="J672" s="10"/>
      <c r="K672" s="10"/>
      <c r="L672" s="10"/>
      <c r="M672" s="10"/>
      <c r="N672" s="10"/>
      <c r="O672" s="10"/>
      <c r="P672" s="10"/>
      <c r="Q672" s="10" t="str">
        <f>"337.90"</f>
        <v>337.90</v>
      </c>
      <c r="R672" s="10" t="str">
        <f>"386.99"</f>
        <v>386.99</v>
      </c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 t="str">
        <f>"249.71"</f>
        <v>249.71</v>
      </c>
      <c r="AF672" s="10" t="str">
        <f>"312.80"</f>
        <v>312.80</v>
      </c>
      <c r="AG672" s="10"/>
      <c r="AH672" s="10"/>
      <c r="AI672" s="10"/>
      <c r="AJ672" s="10"/>
      <c r="AK672" s="10"/>
      <c r="AL672" s="10"/>
      <c r="AM672" s="10"/>
      <c r="AN672" s="10" t="str">
        <f>"284.03"</f>
        <v>284.03</v>
      </c>
      <c r="AO672" s="10" t="str">
        <f>"279.36"</f>
        <v>279.36</v>
      </c>
    </row>
    <row r="673" spans="1:41">
      <c r="A673" s="8">
        <v>671</v>
      </c>
      <c r="B673" s="8">
        <v>7055</v>
      </c>
      <c r="C673" s="8" t="s">
        <v>854</v>
      </c>
      <c r="D673" s="8" t="s">
        <v>533</v>
      </c>
      <c r="E673" s="2" t="str">
        <f>"264.67"</f>
        <v>264.67</v>
      </c>
      <c r="F673" s="9" t="s">
        <v>11</v>
      </c>
      <c r="G673" s="9">
        <v>2017</v>
      </c>
      <c r="H673" s="10" t="str">
        <f>"224.67"</f>
        <v>224.67</v>
      </c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  <c r="AM673" s="10"/>
      <c r="AN673" s="10"/>
      <c r="AO673" s="10"/>
    </row>
    <row r="674" spans="1:41">
      <c r="A674" s="8">
        <v>672</v>
      </c>
      <c r="B674" s="8">
        <v>10340</v>
      </c>
      <c r="C674" s="8" t="s">
        <v>855</v>
      </c>
      <c r="D674" s="8" t="s">
        <v>10</v>
      </c>
      <c r="E674" s="2" t="str">
        <f>"265.08"</f>
        <v>265.08</v>
      </c>
      <c r="F674" s="9"/>
      <c r="G674" s="9">
        <v>2017</v>
      </c>
      <c r="H674" s="10" t="str">
        <f>"319.12"</f>
        <v>319.12</v>
      </c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 t="str">
        <f>"300.53"</f>
        <v>300.53</v>
      </c>
      <c r="AF674" s="10" t="str">
        <f>"354.93"</f>
        <v>354.93</v>
      </c>
      <c r="AG674" s="10"/>
      <c r="AH674" s="10"/>
      <c r="AI674" s="10"/>
      <c r="AJ674" s="10"/>
      <c r="AK674" s="10"/>
      <c r="AL674" s="10" t="str">
        <f>"229.63"</f>
        <v>229.63</v>
      </c>
      <c r="AM674" s="10"/>
      <c r="AN674" s="10"/>
      <c r="AO674" s="10"/>
    </row>
    <row r="675" spans="1:41">
      <c r="A675" s="8">
        <v>673</v>
      </c>
      <c r="B675" s="8">
        <v>8568</v>
      </c>
      <c r="C675" s="8" t="s">
        <v>856</v>
      </c>
      <c r="D675" s="8" t="s">
        <v>20</v>
      </c>
      <c r="E675" s="2" t="str">
        <f>"265.19"</f>
        <v>265.19</v>
      </c>
      <c r="F675" s="9" t="s">
        <v>11</v>
      </c>
      <c r="G675" s="9">
        <v>2017</v>
      </c>
      <c r="H675" s="10" t="str">
        <f>"225.19"</f>
        <v>225.19</v>
      </c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  <c r="AM675" s="10"/>
      <c r="AN675" s="10"/>
      <c r="AO675" s="10"/>
    </row>
    <row r="676" spans="1:41">
      <c r="A676" s="8">
        <v>674</v>
      </c>
      <c r="B676" s="8">
        <v>10440</v>
      </c>
      <c r="C676" s="8" t="s">
        <v>857</v>
      </c>
      <c r="D676" s="8" t="s">
        <v>19</v>
      </c>
      <c r="E676" s="2" t="str">
        <f>"265.29"</f>
        <v>265.29</v>
      </c>
      <c r="F676" s="9"/>
      <c r="G676" s="9">
        <v>2017</v>
      </c>
      <c r="H676" s="10" t="str">
        <f>"445.33"</f>
        <v>445.33</v>
      </c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 t="str">
        <f>"401.07"</f>
        <v>401.07</v>
      </c>
      <c r="AC676" s="10" t="str">
        <f>"312.98"</f>
        <v>312.98</v>
      </c>
      <c r="AD676" s="10" t="str">
        <f>"291.99"</f>
        <v>291.99</v>
      </c>
      <c r="AE676" s="10"/>
      <c r="AF676" s="10"/>
      <c r="AG676" s="10"/>
      <c r="AH676" s="10"/>
      <c r="AI676" s="10"/>
      <c r="AJ676" s="10"/>
      <c r="AK676" s="10"/>
      <c r="AL676" s="10"/>
      <c r="AM676" s="10" t="str">
        <f>"333.41"</f>
        <v>333.41</v>
      </c>
      <c r="AN676" s="10" t="str">
        <f>"249.75"</f>
        <v>249.75</v>
      </c>
      <c r="AO676" s="10" t="str">
        <f>"280.82"</f>
        <v>280.82</v>
      </c>
    </row>
    <row r="677" spans="1:41">
      <c r="A677" s="8">
        <v>675</v>
      </c>
      <c r="B677" s="8">
        <v>11253</v>
      </c>
      <c r="C677" s="8" t="s">
        <v>858</v>
      </c>
      <c r="D677" s="8" t="s">
        <v>10</v>
      </c>
      <c r="E677" s="2" t="str">
        <f>"265.66"</f>
        <v>265.66</v>
      </c>
      <c r="F677" s="9"/>
      <c r="G677" s="9">
        <v>2017</v>
      </c>
      <c r="H677" s="10"/>
      <c r="I677" s="10"/>
      <c r="J677" s="10"/>
      <c r="K677" s="10"/>
      <c r="L677" s="10"/>
      <c r="M677" s="10"/>
      <c r="N677" s="10"/>
      <c r="O677" s="10"/>
      <c r="P677" s="10"/>
      <c r="Q677" s="10" t="str">
        <f>"448.22"</f>
        <v>448.22</v>
      </c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 t="str">
        <f>"329.14"</f>
        <v>329.14</v>
      </c>
      <c r="AF677" s="10" t="str">
        <f>"364.41"</f>
        <v>364.41</v>
      </c>
      <c r="AG677" s="10"/>
      <c r="AH677" s="10"/>
      <c r="AI677" s="10"/>
      <c r="AJ677" s="10"/>
      <c r="AK677" s="10"/>
      <c r="AL677" s="10"/>
      <c r="AM677" s="10"/>
      <c r="AN677" s="10" t="str">
        <f>"264.31"</f>
        <v>264.31</v>
      </c>
      <c r="AO677" s="10" t="str">
        <f>"267.00"</f>
        <v>267.00</v>
      </c>
    </row>
    <row r="678" spans="1:41">
      <c r="A678" s="8">
        <v>676</v>
      </c>
      <c r="B678" s="8">
        <v>10165</v>
      </c>
      <c r="C678" s="8" t="s">
        <v>859</v>
      </c>
      <c r="D678" s="8" t="s">
        <v>10</v>
      </c>
      <c r="E678" s="2" t="str">
        <f>"265.72"</f>
        <v>265.72</v>
      </c>
      <c r="F678" s="9"/>
      <c r="G678" s="9">
        <v>2017</v>
      </c>
      <c r="H678" s="10" t="str">
        <f>"337.67"</f>
        <v>337.67</v>
      </c>
      <c r="I678" s="10"/>
      <c r="J678" s="10"/>
      <c r="K678" s="10"/>
      <c r="L678" s="10"/>
      <c r="M678" s="10"/>
      <c r="N678" s="10"/>
      <c r="O678" s="10"/>
      <c r="P678" s="10"/>
      <c r="Q678" s="10" t="str">
        <f>"343.36"</f>
        <v>343.36</v>
      </c>
      <c r="R678" s="10" t="str">
        <f>"407.45"</f>
        <v>407.45</v>
      </c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  <c r="AM678" s="10"/>
      <c r="AN678" s="10" t="str">
        <f>"264.44"</f>
        <v>264.44</v>
      </c>
      <c r="AO678" s="10" t="str">
        <f>"267.00"</f>
        <v>267.00</v>
      </c>
    </row>
    <row r="679" spans="1:41">
      <c r="A679" s="8">
        <v>677</v>
      </c>
      <c r="B679" s="8">
        <v>8495</v>
      </c>
      <c r="C679" s="8" t="s">
        <v>860</v>
      </c>
      <c r="D679" s="8" t="s">
        <v>10</v>
      </c>
      <c r="E679" s="2" t="str">
        <f>"266.14"</f>
        <v>266.14</v>
      </c>
      <c r="F679" s="9" t="s">
        <v>11</v>
      </c>
      <c r="G679" s="9">
        <v>2017</v>
      </c>
      <c r="H679" s="10" t="str">
        <f>"226.14"</f>
        <v>226.14</v>
      </c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  <c r="AM679" s="10"/>
      <c r="AN679" s="10"/>
      <c r="AO679" s="10"/>
    </row>
    <row r="680" spans="1:41">
      <c r="A680" s="8">
        <v>678</v>
      </c>
      <c r="B680" s="8">
        <v>6912</v>
      </c>
      <c r="C680" s="8" t="s">
        <v>861</v>
      </c>
      <c r="D680" s="8" t="s">
        <v>79</v>
      </c>
      <c r="E680" s="2" t="str">
        <f>"266.18"</f>
        <v>266.18</v>
      </c>
      <c r="F680" s="9" t="s">
        <v>11</v>
      </c>
      <c r="G680" s="9">
        <v>2017</v>
      </c>
      <c r="H680" s="10" t="str">
        <f>"226.18"</f>
        <v>226.18</v>
      </c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  <c r="AM680" s="10"/>
      <c r="AN680" s="10"/>
      <c r="AO680" s="10"/>
    </row>
    <row r="681" spans="1:41">
      <c r="A681" s="8">
        <v>679</v>
      </c>
      <c r="B681" s="8">
        <v>6202</v>
      </c>
      <c r="C681" s="8" t="s">
        <v>862</v>
      </c>
      <c r="D681" s="8" t="s">
        <v>96</v>
      </c>
      <c r="E681" s="2" t="str">
        <f>"267.12"</f>
        <v>267.12</v>
      </c>
      <c r="F681" s="9" t="s">
        <v>11</v>
      </c>
      <c r="G681" s="9">
        <v>2017</v>
      </c>
      <c r="H681" s="10" t="str">
        <f>"227.12"</f>
        <v>227.12</v>
      </c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  <c r="AM681" s="10"/>
      <c r="AN681" s="10"/>
      <c r="AO681" s="10"/>
    </row>
    <row r="682" spans="1:41">
      <c r="A682" s="8">
        <v>680</v>
      </c>
      <c r="B682" s="8">
        <v>2164</v>
      </c>
      <c r="C682" s="8" t="s">
        <v>863</v>
      </c>
      <c r="D682" s="8" t="s">
        <v>864</v>
      </c>
      <c r="E682" s="2" t="str">
        <f>"267.22"</f>
        <v>267.22</v>
      </c>
      <c r="F682" s="9"/>
      <c r="G682" s="9">
        <v>2017</v>
      </c>
      <c r="H682" s="10" t="str">
        <f>"230.34"</f>
        <v>230.34</v>
      </c>
      <c r="I682" s="10"/>
      <c r="J682" s="10"/>
      <c r="K682" s="10"/>
      <c r="L682" s="10"/>
      <c r="M682" s="10"/>
      <c r="N682" s="10" t="str">
        <f>"269.58"</f>
        <v>269.58</v>
      </c>
      <c r="O682" s="10"/>
      <c r="P682" s="10" t="str">
        <f>"264.86"</f>
        <v>264.86</v>
      </c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  <c r="AM682" s="10"/>
      <c r="AN682" s="10"/>
      <c r="AO682" s="10"/>
    </row>
    <row r="683" spans="1:41">
      <c r="A683" s="8">
        <v>681</v>
      </c>
      <c r="B683" s="8">
        <v>4124</v>
      </c>
      <c r="C683" s="8" t="s">
        <v>865</v>
      </c>
      <c r="D683" s="8" t="s">
        <v>8</v>
      </c>
      <c r="E683" s="2" t="str">
        <f>"267.24"</f>
        <v>267.24</v>
      </c>
      <c r="F683" s="9" t="s">
        <v>11</v>
      </c>
      <c r="G683" s="9">
        <v>2017</v>
      </c>
      <c r="H683" s="10" t="str">
        <f>"227.24"</f>
        <v>227.24</v>
      </c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  <c r="AM683" s="10"/>
      <c r="AN683" s="10"/>
      <c r="AO683" s="10"/>
    </row>
    <row r="684" spans="1:41">
      <c r="A684" s="8">
        <v>682</v>
      </c>
      <c r="B684" s="8">
        <v>2319</v>
      </c>
      <c r="C684" s="8" t="s">
        <v>866</v>
      </c>
      <c r="D684" s="8" t="s">
        <v>10</v>
      </c>
      <c r="E684" s="2" t="str">
        <f>"267.74"</f>
        <v>267.74</v>
      </c>
      <c r="F684" s="9"/>
      <c r="G684" s="9">
        <v>2017</v>
      </c>
      <c r="H684" s="10" t="str">
        <f>"257.49"</f>
        <v>257.49</v>
      </c>
      <c r="I684" s="10"/>
      <c r="J684" s="10"/>
      <c r="K684" s="10"/>
      <c r="L684" s="10"/>
      <c r="M684" s="10"/>
      <c r="N684" s="10"/>
      <c r="O684" s="10"/>
      <c r="P684" s="10"/>
      <c r="Q684" s="10" t="str">
        <f>"254.72"</f>
        <v>254.72</v>
      </c>
      <c r="R684" s="10" t="str">
        <f>"280.75"</f>
        <v>280.75</v>
      </c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  <c r="AM684" s="10"/>
      <c r="AN684" s="10"/>
      <c r="AO684" s="10"/>
    </row>
    <row r="685" spans="1:41">
      <c r="A685" s="8">
        <v>683</v>
      </c>
      <c r="B685" s="8">
        <v>5353</v>
      </c>
      <c r="C685" s="8" t="s">
        <v>867</v>
      </c>
      <c r="D685" s="8" t="s">
        <v>14</v>
      </c>
      <c r="E685" s="2" t="str">
        <f>"267.82"</f>
        <v>267.82</v>
      </c>
      <c r="F685" s="9" t="s">
        <v>11</v>
      </c>
      <c r="G685" s="9">
        <v>2017</v>
      </c>
      <c r="H685" s="10" t="str">
        <f>"227.82"</f>
        <v>227.82</v>
      </c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  <c r="AM685" s="10"/>
      <c r="AN685" s="10"/>
      <c r="AO685" s="10"/>
    </row>
    <row r="686" spans="1:41">
      <c r="A686" s="8">
        <v>684</v>
      </c>
      <c r="B686" s="8">
        <v>1106</v>
      </c>
      <c r="C686" s="8" t="s">
        <v>868</v>
      </c>
      <c r="D686" s="8" t="s">
        <v>32</v>
      </c>
      <c r="E686" s="2" t="str">
        <f>"267.99"</f>
        <v>267.99</v>
      </c>
      <c r="F686" s="9" t="s">
        <v>11</v>
      </c>
      <c r="G686" s="9">
        <v>2017</v>
      </c>
      <c r="H686" s="10" t="str">
        <f>"227.99"</f>
        <v>227.99</v>
      </c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  <c r="AM686" s="10"/>
      <c r="AN686" s="10"/>
      <c r="AO686" s="10"/>
    </row>
    <row r="687" spans="1:41">
      <c r="A687" s="8">
        <v>685</v>
      </c>
      <c r="B687" s="8">
        <v>1236</v>
      </c>
      <c r="C687" s="8" t="s">
        <v>869</v>
      </c>
      <c r="D687" s="8" t="s">
        <v>65</v>
      </c>
      <c r="E687" s="2" t="str">
        <f>"268.06"</f>
        <v>268.06</v>
      </c>
      <c r="F687" s="9"/>
      <c r="G687" s="9">
        <v>2017</v>
      </c>
      <c r="H687" s="10" t="str">
        <f>"279.05"</f>
        <v>279.05</v>
      </c>
      <c r="I687" s="10"/>
      <c r="J687" s="10"/>
      <c r="K687" s="10"/>
      <c r="L687" s="10"/>
      <c r="M687" s="10"/>
      <c r="N687" s="10" t="str">
        <f>"293.04"</f>
        <v>293.04</v>
      </c>
      <c r="O687" s="10"/>
      <c r="P687" s="10" t="str">
        <f>"243.08"</f>
        <v>243.08</v>
      </c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 t="str">
        <f>"345.83"</f>
        <v>345.83</v>
      </c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  <c r="AM687" s="10"/>
      <c r="AN687" s="10"/>
      <c r="AO687" s="10"/>
    </row>
    <row r="688" spans="1:41">
      <c r="A688" s="8">
        <v>686</v>
      </c>
      <c r="B688" s="8">
        <v>10479</v>
      </c>
      <c r="C688" s="8" t="s">
        <v>870</v>
      </c>
      <c r="D688" s="8" t="s">
        <v>19</v>
      </c>
      <c r="E688" s="2" t="str">
        <f>"268.17"</f>
        <v>268.17</v>
      </c>
      <c r="F688" s="9"/>
      <c r="G688" s="9">
        <v>2017</v>
      </c>
      <c r="H688" s="10" t="str">
        <f>"352.09"</f>
        <v>352.09</v>
      </c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 t="str">
        <f>"296.39"</f>
        <v>296.39</v>
      </c>
      <c r="Z688" s="10"/>
      <c r="AA688" s="10"/>
      <c r="AB688" s="10" t="str">
        <f>"239.94"</f>
        <v>239.94</v>
      </c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  <c r="AM688" s="10"/>
      <c r="AN688" s="10"/>
      <c r="AO688" s="10"/>
    </row>
    <row r="689" spans="1:41">
      <c r="A689" s="8">
        <v>687</v>
      </c>
      <c r="B689" s="8">
        <v>3972</v>
      </c>
      <c r="C689" s="8" t="s">
        <v>871</v>
      </c>
      <c r="D689" s="8" t="s">
        <v>32</v>
      </c>
      <c r="E689" s="2" t="str">
        <f>"268.26"</f>
        <v>268.26</v>
      </c>
      <c r="F689" s="9"/>
      <c r="G689" s="9">
        <v>2017</v>
      </c>
      <c r="H689" s="10" t="str">
        <f>"256.09"</f>
        <v>256.09</v>
      </c>
      <c r="I689" s="10"/>
      <c r="J689" s="10"/>
      <c r="K689" s="10"/>
      <c r="L689" s="10"/>
      <c r="M689" s="10"/>
      <c r="N689" s="10" t="str">
        <f>"249.41"</f>
        <v>249.41</v>
      </c>
      <c r="O689" s="10"/>
      <c r="P689" s="10" t="str">
        <f>"287.10"</f>
        <v>287.10</v>
      </c>
      <c r="Q689" s="10"/>
      <c r="R689" s="10"/>
      <c r="S689" s="10"/>
      <c r="T689" s="10" t="str">
        <f>"324.82"</f>
        <v>324.82</v>
      </c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  <c r="AM689" s="10"/>
      <c r="AN689" s="10"/>
      <c r="AO689" s="10"/>
    </row>
    <row r="690" spans="1:41">
      <c r="A690" s="8">
        <v>688</v>
      </c>
      <c r="B690" s="8">
        <v>10230</v>
      </c>
      <c r="C690" s="8" t="s">
        <v>872</v>
      </c>
      <c r="D690" s="8" t="s">
        <v>50</v>
      </c>
      <c r="E690" s="2" t="str">
        <f>"268.78"</f>
        <v>268.78</v>
      </c>
      <c r="F690" s="9" t="s">
        <v>9</v>
      </c>
      <c r="G690" s="9">
        <v>2017</v>
      </c>
      <c r="H690" s="10" t="str">
        <f>"454.68"</f>
        <v>454.68</v>
      </c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 t="str">
        <f>"228.78"</f>
        <v>228.78</v>
      </c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  <c r="AM690" s="10"/>
      <c r="AN690" s="10"/>
      <c r="AO690" s="10"/>
    </row>
    <row r="691" spans="1:41">
      <c r="A691" s="8">
        <v>689</v>
      </c>
      <c r="B691" s="8">
        <v>8311</v>
      </c>
      <c r="C691" s="8" t="s">
        <v>873</v>
      </c>
      <c r="D691" s="8" t="s">
        <v>94</v>
      </c>
      <c r="E691" s="2" t="str">
        <f>"268.92"</f>
        <v>268.92</v>
      </c>
      <c r="F691" s="9" t="s">
        <v>9</v>
      </c>
      <c r="G691" s="9">
        <v>2017</v>
      </c>
      <c r="H691" s="10" t="str">
        <f>"254.49"</f>
        <v>254.49</v>
      </c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 t="str">
        <f>"228.92"</f>
        <v>228.92</v>
      </c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  <c r="AM691" s="10"/>
      <c r="AN691" s="10"/>
      <c r="AO691" s="10"/>
    </row>
    <row r="692" spans="1:41">
      <c r="A692" s="8">
        <v>690</v>
      </c>
      <c r="B692" s="8">
        <v>10853</v>
      </c>
      <c r="C692" s="8" t="s">
        <v>874</v>
      </c>
      <c r="D692" s="8" t="s">
        <v>10</v>
      </c>
      <c r="E692" s="2" t="str">
        <f>"268.92"</f>
        <v>268.92</v>
      </c>
      <c r="F692" s="9"/>
      <c r="G692" s="9">
        <v>2017</v>
      </c>
      <c r="H692" s="10"/>
      <c r="I692" s="10"/>
      <c r="J692" s="10"/>
      <c r="K692" s="10"/>
      <c r="L692" s="10"/>
      <c r="M692" s="10"/>
      <c r="N692" s="10"/>
      <c r="O692" s="10"/>
      <c r="P692" s="10"/>
      <c r="Q692" s="10" t="str">
        <f>"407.58"</f>
        <v>407.58</v>
      </c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 t="str">
        <f>"266.65"</f>
        <v>266.65</v>
      </c>
      <c r="AF692" s="10"/>
      <c r="AG692" s="10"/>
      <c r="AH692" s="10"/>
      <c r="AI692" s="10"/>
      <c r="AJ692" s="10"/>
      <c r="AK692" s="10"/>
      <c r="AL692" s="10"/>
      <c r="AM692" s="10"/>
      <c r="AN692" s="10" t="str">
        <f>"271.19"</f>
        <v>271.19</v>
      </c>
      <c r="AO692" s="10" t="str">
        <f>"347.55"</f>
        <v>347.55</v>
      </c>
    </row>
    <row r="693" spans="1:41">
      <c r="A693" s="8">
        <v>691</v>
      </c>
      <c r="B693" s="8">
        <v>7357</v>
      </c>
      <c r="C693" s="8" t="s">
        <v>875</v>
      </c>
      <c r="D693" s="8" t="s">
        <v>22</v>
      </c>
      <c r="E693" s="2" t="str">
        <f>"268.96"</f>
        <v>268.96</v>
      </c>
      <c r="F693" s="9"/>
      <c r="G693" s="9">
        <v>2017</v>
      </c>
      <c r="H693" s="10" t="str">
        <f>"246.55"</f>
        <v>246.55</v>
      </c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 t="str">
        <f>"299.14"</f>
        <v>299.14</v>
      </c>
      <c r="T693" s="10"/>
      <c r="U693" s="10"/>
      <c r="V693" s="10"/>
      <c r="W693" s="10"/>
      <c r="X693" s="10"/>
      <c r="Y693" s="10"/>
      <c r="Z693" s="10" t="str">
        <f>"238.78"</f>
        <v>238.78</v>
      </c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  <c r="AM693" s="10"/>
      <c r="AN693" s="10"/>
      <c r="AO693" s="10"/>
    </row>
    <row r="694" spans="1:41">
      <c r="A694" s="8">
        <v>692</v>
      </c>
      <c r="B694" s="8">
        <v>2018</v>
      </c>
      <c r="C694" s="8" t="s">
        <v>876</v>
      </c>
      <c r="D694" s="8" t="s">
        <v>74</v>
      </c>
      <c r="E694" s="2" t="str">
        <f>"269.00"</f>
        <v>269.00</v>
      </c>
      <c r="F694" s="9" t="s">
        <v>11</v>
      </c>
      <c r="G694" s="9">
        <v>2017</v>
      </c>
      <c r="H694" s="10" t="str">
        <f>"229.00"</f>
        <v>229.00</v>
      </c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  <c r="AM694" s="10"/>
      <c r="AN694" s="10"/>
      <c r="AO694" s="10"/>
    </row>
    <row r="695" spans="1:41">
      <c r="A695" s="8">
        <v>693</v>
      </c>
      <c r="B695" s="8">
        <v>8327</v>
      </c>
      <c r="C695" s="8" t="s">
        <v>877</v>
      </c>
      <c r="D695" s="8" t="s">
        <v>59</v>
      </c>
      <c r="E695" s="2" t="str">
        <f>"269.17"</f>
        <v>269.17</v>
      </c>
      <c r="F695" s="9"/>
      <c r="G695" s="9">
        <v>2017</v>
      </c>
      <c r="H695" s="10" t="str">
        <f>"289.83"</f>
        <v>289.83</v>
      </c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 t="str">
        <f>"357.81"</f>
        <v>357.81</v>
      </c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 t="str">
        <f>"275.63"</f>
        <v>275.63</v>
      </c>
      <c r="AI695" s="10"/>
      <c r="AJ695" s="10"/>
      <c r="AK695" s="10"/>
      <c r="AL695" s="10"/>
      <c r="AM695" s="10" t="str">
        <f>"262.70"</f>
        <v>262.70</v>
      </c>
      <c r="AN695" s="10"/>
      <c r="AO695" s="10"/>
    </row>
    <row r="696" spans="1:41">
      <c r="A696" s="8">
        <v>694</v>
      </c>
      <c r="B696" s="8">
        <v>9134</v>
      </c>
      <c r="C696" s="8" t="s">
        <v>878</v>
      </c>
      <c r="D696" s="8" t="s">
        <v>43</v>
      </c>
      <c r="E696" s="2" t="str">
        <f>"269.39"</f>
        <v>269.39</v>
      </c>
      <c r="F696" s="9" t="s">
        <v>11</v>
      </c>
      <c r="G696" s="9">
        <v>2017</v>
      </c>
      <c r="H696" s="10" t="str">
        <f>"229.39"</f>
        <v>229.39</v>
      </c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  <c r="AM696" s="10"/>
      <c r="AN696" s="10"/>
      <c r="AO696" s="10"/>
    </row>
    <row r="697" spans="1:41">
      <c r="A697" s="8">
        <v>695</v>
      </c>
      <c r="B697" s="8">
        <v>4545</v>
      </c>
      <c r="C697" s="8" t="s">
        <v>879</v>
      </c>
      <c r="D697" s="8" t="s">
        <v>21</v>
      </c>
      <c r="E697" s="2" t="str">
        <f>"269.76"</f>
        <v>269.76</v>
      </c>
      <c r="F697" s="9"/>
      <c r="G697" s="9">
        <v>2017</v>
      </c>
      <c r="H697" s="10" t="str">
        <f>"403.79"</f>
        <v>403.79</v>
      </c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 t="str">
        <f>"300.99"</f>
        <v>300.99</v>
      </c>
      <c r="AD697" s="10" t="str">
        <f>"304.43"</f>
        <v>304.43</v>
      </c>
      <c r="AE697" s="10"/>
      <c r="AF697" s="10"/>
      <c r="AG697" s="10" t="str">
        <f>"238.52"</f>
        <v>238.52</v>
      </c>
      <c r="AH697" s="10" t="str">
        <f>"367.89"</f>
        <v>367.89</v>
      </c>
      <c r="AI697" s="10"/>
      <c r="AJ697" s="10"/>
      <c r="AK697" s="10"/>
      <c r="AL697" s="10"/>
      <c r="AM697" s="10"/>
      <c r="AN697" s="10"/>
      <c r="AO697" s="10"/>
    </row>
    <row r="698" spans="1:41">
      <c r="A698" s="8">
        <v>696</v>
      </c>
      <c r="B698" s="8">
        <v>10702</v>
      </c>
      <c r="C698" s="8" t="s">
        <v>880</v>
      </c>
      <c r="D698" s="8" t="s">
        <v>10</v>
      </c>
      <c r="E698" s="2" t="str">
        <f>"269.85"</f>
        <v>269.85</v>
      </c>
      <c r="F698" s="9" t="s">
        <v>11</v>
      </c>
      <c r="G698" s="9">
        <v>2017</v>
      </c>
      <c r="H698" s="10" t="str">
        <f>"229.85"</f>
        <v>229.85</v>
      </c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  <c r="AM698" s="10"/>
      <c r="AN698" s="10"/>
      <c r="AO698" s="10"/>
    </row>
    <row r="699" spans="1:41">
      <c r="A699" s="8">
        <v>697</v>
      </c>
      <c r="B699" s="8">
        <v>1342</v>
      </c>
      <c r="C699" s="8" t="s">
        <v>881</v>
      </c>
      <c r="D699" s="8" t="s">
        <v>49</v>
      </c>
      <c r="E699" s="2" t="str">
        <f>"270.21"</f>
        <v>270.21</v>
      </c>
      <c r="F699" s="9" t="s">
        <v>11</v>
      </c>
      <c r="G699" s="9">
        <v>2017</v>
      </c>
      <c r="H699" s="10" t="str">
        <f>"230.21"</f>
        <v>230.21</v>
      </c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  <c r="AM699" s="10"/>
      <c r="AN699" s="10"/>
      <c r="AO699" s="10"/>
    </row>
    <row r="700" spans="1:41">
      <c r="A700" s="8">
        <v>698</v>
      </c>
      <c r="B700" s="8">
        <v>6350</v>
      </c>
      <c r="C700" s="8" t="s">
        <v>882</v>
      </c>
      <c r="D700" s="8" t="s">
        <v>883</v>
      </c>
      <c r="E700" s="2" t="str">
        <f>"271.18"</f>
        <v>271.18</v>
      </c>
      <c r="F700" s="9" t="s">
        <v>11</v>
      </c>
      <c r="G700" s="9">
        <v>2017</v>
      </c>
      <c r="H700" s="10" t="str">
        <f>"231.18"</f>
        <v>231.18</v>
      </c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  <c r="AM700" s="10"/>
      <c r="AN700" s="10"/>
      <c r="AO700" s="10"/>
    </row>
    <row r="701" spans="1:41">
      <c r="A701" s="8">
        <v>699</v>
      </c>
      <c r="B701" s="8">
        <v>11022</v>
      </c>
      <c r="C701" s="8" t="s">
        <v>884</v>
      </c>
      <c r="D701" s="8" t="s">
        <v>84</v>
      </c>
      <c r="E701" s="2" t="str">
        <f>"272.70"</f>
        <v>272.70</v>
      </c>
      <c r="F701" s="9" t="s">
        <v>11</v>
      </c>
      <c r="G701" s="9">
        <v>2017</v>
      </c>
      <c r="H701" s="10" t="str">
        <f>"232.70"</f>
        <v>232.70</v>
      </c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  <c r="AM701" s="10"/>
      <c r="AN701" s="10"/>
      <c r="AO701" s="10"/>
    </row>
    <row r="702" spans="1:41">
      <c r="A702" s="8">
        <v>700</v>
      </c>
      <c r="B702" s="8">
        <v>10616</v>
      </c>
      <c r="C702" s="8" t="s">
        <v>885</v>
      </c>
      <c r="D702" s="8" t="s">
        <v>10</v>
      </c>
      <c r="E702" s="2" t="str">
        <f>"272.99"</f>
        <v>272.99</v>
      </c>
      <c r="F702" s="9"/>
      <c r="G702" s="9">
        <v>2017</v>
      </c>
      <c r="H702" s="10" t="str">
        <f>"267.62"</f>
        <v>267.62</v>
      </c>
      <c r="I702" s="10"/>
      <c r="J702" s="10"/>
      <c r="K702" s="10"/>
      <c r="L702" s="10"/>
      <c r="M702" s="10"/>
      <c r="N702" s="10"/>
      <c r="O702" s="10"/>
      <c r="P702" s="10"/>
      <c r="Q702" s="10" t="str">
        <f>"288.81"</f>
        <v>288.81</v>
      </c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 t="str">
        <f>"268.27"</f>
        <v>268.27</v>
      </c>
      <c r="AF702" s="10" t="str">
        <f>"277.70"</f>
        <v>277.70</v>
      </c>
      <c r="AG702" s="10"/>
      <c r="AH702" s="10"/>
      <c r="AI702" s="10"/>
      <c r="AJ702" s="10"/>
      <c r="AK702" s="10"/>
      <c r="AL702" s="10"/>
      <c r="AM702" s="10"/>
      <c r="AN702" s="10"/>
      <c r="AO702" s="10"/>
    </row>
    <row r="703" spans="1:41">
      <c r="A703" s="8">
        <v>701</v>
      </c>
      <c r="B703" s="8">
        <v>1092</v>
      </c>
      <c r="C703" s="8" t="s">
        <v>886</v>
      </c>
      <c r="D703" s="8" t="s">
        <v>40</v>
      </c>
      <c r="E703" s="2" t="str">
        <f>"272.99"</f>
        <v>272.99</v>
      </c>
      <c r="F703" s="9"/>
      <c r="G703" s="9">
        <v>2017</v>
      </c>
      <c r="H703" s="10" t="str">
        <f>"406.59"</f>
        <v>406.59</v>
      </c>
      <c r="I703" s="10"/>
      <c r="J703" s="10"/>
      <c r="K703" s="10"/>
      <c r="L703" s="10"/>
      <c r="M703" s="10"/>
      <c r="N703" s="10"/>
      <c r="O703" s="10" t="str">
        <f>"235.62"</f>
        <v>235.62</v>
      </c>
      <c r="P703" s="10"/>
      <c r="Q703" s="10"/>
      <c r="R703" s="10"/>
      <c r="S703" s="10"/>
      <c r="T703" s="10" t="str">
        <f>"310.35"</f>
        <v>310.35</v>
      </c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  <c r="AM703" s="10"/>
      <c r="AN703" s="10"/>
      <c r="AO703" s="10"/>
    </row>
    <row r="704" spans="1:41">
      <c r="A704" s="8">
        <v>702</v>
      </c>
      <c r="B704" s="8">
        <v>11225</v>
      </c>
      <c r="C704" s="8" t="s">
        <v>887</v>
      </c>
      <c r="D704" s="8" t="s">
        <v>19</v>
      </c>
      <c r="E704" s="2" t="str">
        <f>"273.02"</f>
        <v>273.02</v>
      </c>
      <c r="F704" s="9"/>
      <c r="G704" s="9">
        <v>2017</v>
      </c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 t="str">
        <f>"237.15"</f>
        <v>237.15</v>
      </c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  <c r="AM704" s="10" t="str">
        <f>"308.89"</f>
        <v>308.89</v>
      </c>
      <c r="AN704" s="10"/>
      <c r="AO704" s="10"/>
    </row>
    <row r="705" spans="1:41">
      <c r="A705" s="8">
        <v>703</v>
      </c>
      <c r="B705" s="8">
        <v>10282</v>
      </c>
      <c r="C705" s="8" t="s">
        <v>888</v>
      </c>
      <c r="D705" s="8" t="s">
        <v>14</v>
      </c>
      <c r="E705" s="2" t="str">
        <f>"274.57"</f>
        <v>274.57</v>
      </c>
      <c r="F705" s="9"/>
      <c r="G705" s="9">
        <v>2017</v>
      </c>
      <c r="H705" s="10" t="str">
        <f>"237.25"</f>
        <v>237.25</v>
      </c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 t="str">
        <f>"283.80"</f>
        <v>283.80</v>
      </c>
      <c r="V705" s="10"/>
      <c r="W705" s="10"/>
      <c r="X705" s="10" t="str">
        <f>"265.33"</f>
        <v>265.33</v>
      </c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  <c r="AM705" s="10"/>
      <c r="AN705" s="10"/>
      <c r="AO705" s="10"/>
    </row>
    <row r="706" spans="1:41">
      <c r="A706" s="8">
        <v>704</v>
      </c>
      <c r="B706" s="8">
        <v>1368</v>
      </c>
      <c r="C706" s="8" t="s">
        <v>889</v>
      </c>
      <c r="D706" s="8" t="s">
        <v>32</v>
      </c>
      <c r="E706" s="2" t="str">
        <f>"274.65"</f>
        <v>274.65</v>
      </c>
      <c r="F706" s="9"/>
      <c r="G706" s="9">
        <v>2017</v>
      </c>
      <c r="H706" s="10" t="str">
        <f>"268.08"</f>
        <v>268.08</v>
      </c>
      <c r="I706" s="10"/>
      <c r="J706" s="10"/>
      <c r="K706" s="10"/>
      <c r="L706" s="10"/>
      <c r="M706" s="10"/>
      <c r="N706" s="10"/>
      <c r="O706" s="10" t="str">
        <f>"272.10"</f>
        <v>272.10</v>
      </c>
      <c r="P706" s="10"/>
      <c r="Q706" s="10"/>
      <c r="R706" s="10"/>
      <c r="S706" s="10"/>
      <c r="T706" s="10" t="str">
        <f>"277.20"</f>
        <v>277.20</v>
      </c>
      <c r="U706" s="10"/>
      <c r="V706" s="10"/>
      <c r="W706" s="10"/>
      <c r="X706" s="10"/>
      <c r="Y706" s="10"/>
      <c r="Z706" s="10"/>
      <c r="AA706" s="10"/>
      <c r="AB706" s="10"/>
      <c r="AC706" s="10" t="str">
        <f>"305.59"</f>
        <v>305.59</v>
      </c>
      <c r="AD706" s="10"/>
      <c r="AE706" s="10"/>
      <c r="AF706" s="10"/>
      <c r="AG706" s="10"/>
      <c r="AH706" s="10"/>
      <c r="AI706" s="10"/>
      <c r="AJ706" s="10"/>
      <c r="AK706" s="10"/>
      <c r="AL706" s="10"/>
      <c r="AM706" s="10"/>
      <c r="AN706" s="10"/>
      <c r="AO706" s="10"/>
    </row>
    <row r="707" spans="1:41">
      <c r="A707" s="8">
        <v>705</v>
      </c>
      <c r="B707" s="8">
        <v>11331</v>
      </c>
      <c r="C707" s="8" t="s">
        <v>890</v>
      </c>
      <c r="D707" s="8" t="s">
        <v>57</v>
      </c>
      <c r="E707" s="2" t="str">
        <f>"274.89"</f>
        <v>274.89</v>
      </c>
      <c r="F707" s="9" t="s">
        <v>9</v>
      </c>
      <c r="G707" s="9">
        <v>2017</v>
      </c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 t="str">
        <f>"234.89"</f>
        <v>234.89</v>
      </c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  <c r="AM707" s="10"/>
      <c r="AN707" s="10"/>
      <c r="AO707" s="10"/>
    </row>
    <row r="708" spans="1:41">
      <c r="A708" s="8">
        <v>706</v>
      </c>
      <c r="B708" s="8">
        <v>10823</v>
      </c>
      <c r="C708" s="8" t="s">
        <v>464</v>
      </c>
      <c r="D708" s="8" t="s">
        <v>19</v>
      </c>
      <c r="E708" s="2" t="str">
        <f>"275.48"</f>
        <v>275.48</v>
      </c>
      <c r="F708" s="9" t="s">
        <v>9</v>
      </c>
      <c r="G708" s="9">
        <v>2017</v>
      </c>
      <c r="H708" s="10" t="str">
        <f>"271.85"</f>
        <v>271.85</v>
      </c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 t="str">
        <f>"235.48"</f>
        <v>235.48</v>
      </c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  <c r="AM708" s="10"/>
      <c r="AN708" s="10"/>
      <c r="AO708" s="10"/>
    </row>
    <row r="709" spans="1:41">
      <c r="A709" s="8">
        <v>707</v>
      </c>
      <c r="B709" s="8">
        <v>10599</v>
      </c>
      <c r="C709" s="8" t="s">
        <v>891</v>
      </c>
      <c r="D709" s="8" t="s">
        <v>10</v>
      </c>
      <c r="E709" s="2" t="str">
        <f>"275.96"</f>
        <v>275.96</v>
      </c>
      <c r="F709" s="9" t="s">
        <v>9</v>
      </c>
      <c r="G709" s="9">
        <v>2017</v>
      </c>
      <c r="H709" s="10" t="str">
        <f>"197.06"</f>
        <v>197.06</v>
      </c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 t="str">
        <f>"235.96"</f>
        <v>235.96</v>
      </c>
      <c r="AG709" s="10"/>
      <c r="AH709" s="10"/>
      <c r="AI709" s="10"/>
      <c r="AJ709" s="10"/>
      <c r="AK709" s="10"/>
      <c r="AL709" s="10"/>
      <c r="AM709" s="10"/>
      <c r="AN709" s="10"/>
      <c r="AO709" s="10"/>
    </row>
    <row r="710" spans="1:41">
      <c r="A710" s="8">
        <v>708</v>
      </c>
      <c r="B710" s="8">
        <v>1781</v>
      </c>
      <c r="C710" s="8" t="s">
        <v>892</v>
      </c>
      <c r="D710" s="8" t="s">
        <v>76</v>
      </c>
      <c r="E710" s="2" t="str">
        <f>"276.05"</f>
        <v>276.05</v>
      </c>
      <c r="F710" s="9" t="s">
        <v>11</v>
      </c>
      <c r="G710" s="9">
        <v>2017</v>
      </c>
      <c r="H710" s="10" t="str">
        <f>"236.05"</f>
        <v>236.05</v>
      </c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  <c r="AM710" s="10"/>
      <c r="AN710" s="10"/>
      <c r="AO710" s="10"/>
    </row>
    <row r="711" spans="1:41">
      <c r="A711" s="8">
        <v>709</v>
      </c>
      <c r="B711" s="8">
        <v>10275</v>
      </c>
      <c r="C711" s="8" t="s">
        <v>893</v>
      </c>
      <c r="D711" s="8" t="s">
        <v>778</v>
      </c>
      <c r="E711" s="2" t="str">
        <f>"276.72"</f>
        <v>276.72</v>
      </c>
      <c r="F711" s="9"/>
      <c r="G711" s="9">
        <v>2017</v>
      </c>
      <c r="H711" s="10" t="str">
        <f>"413.01"</f>
        <v>413.01</v>
      </c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 t="str">
        <f>"407.03"</f>
        <v>407.03</v>
      </c>
      <c r="V711" s="10"/>
      <c r="W711" s="10"/>
      <c r="X711" s="10" t="str">
        <f>"381.26"</f>
        <v>381.26</v>
      </c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 t="str">
        <f>"238.72"</f>
        <v>238.72</v>
      </c>
      <c r="AJ711" s="10"/>
      <c r="AK711" s="10"/>
      <c r="AL711" s="10"/>
      <c r="AM711" s="10" t="str">
        <f>"314.72"</f>
        <v>314.72</v>
      </c>
      <c r="AN711" s="10"/>
      <c r="AO711" s="10"/>
    </row>
    <row r="712" spans="1:41">
      <c r="A712" s="8">
        <v>710</v>
      </c>
      <c r="B712" s="8">
        <v>6860</v>
      </c>
      <c r="C712" s="8" t="s">
        <v>894</v>
      </c>
      <c r="D712" s="8" t="s">
        <v>426</v>
      </c>
      <c r="E712" s="2" t="str">
        <f>"277.03"</f>
        <v>277.03</v>
      </c>
      <c r="F712" s="9"/>
      <c r="G712" s="9">
        <v>2017</v>
      </c>
      <c r="H712" s="10" t="str">
        <f>"301.92"</f>
        <v>301.92</v>
      </c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 t="str">
        <f>"311.38"</f>
        <v>311.38</v>
      </c>
      <c r="AD712" s="10" t="str">
        <f>"284.79"</f>
        <v>284.79</v>
      </c>
      <c r="AE712" s="10"/>
      <c r="AF712" s="10"/>
      <c r="AG712" s="10"/>
      <c r="AH712" s="10" t="str">
        <f>"301.66"</f>
        <v>301.66</v>
      </c>
      <c r="AI712" s="10" t="str">
        <f>"269.27"</f>
        <v>269.27</v>
      </c>
      <c r="AJ712" s="10"/>
      <c r="AK712" s="10"/>
      <c r="AL712" s="10"/>
      <c r="AM712" s="10"/>
      <c r="AN712" s="10"/>
      <c r="AO712" s="10"/>
    </row>
    <row r="713" spans="1:41">
      <c r="A713" s="8">
        <v>711</v>
      </c>
      <c r="B713" s="8">
        <v>9514</v>
      </c>
      <c r="C713" s="8" t="s">
        <v>895</v>
      </c>
      <c r="D713" s="8" t="s">
        <v>896</v>
      </c>
      <c r="E713" s="2" t="str">
        <f>"277.22"</f>
        <v>277.22</v>
      </c>
      <c r="F713" s="9" t="s">
        <v>11</v>
      </c>
      <c r="G713" s="9">
        <v>2017</v>
      </c>
      <c r="H713" s="10" t="str">
        <f>"237.22"</f>
        <v>237.22</v>
      </c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  <c r="AM713" s="10"/>
      <c r="AN713" s="10"/>
      <c r="AO713" s="10"/>
    </row>
    <row r="714" spans="1:41">
      <c r="A714" s="8">
        <v>712</v>
      </c>
      <c r="B714" s="8">
        <v>10202</v>
      </c>
      <c r="C714" s="8" t="s">
        <v>897</v>
      </c>
      <c r="D714" s="8" t="s">
        <v>10</v>
      </c>
      <c r="E714" s="2" t="str">
        <f>"278.31"</f>
        <v>278.31</v>
      </c>
      <c r="F714" s="9"/>
      <c r="G714" s="9">
        <v>2017</v>
      </c>
      <c r="H714" s="10" t="str">
        <f>"332.89"</f>
        <v>332.89</v>
      </c>
      <c r="I714" s="10"/>
      <c r="J714" s="10"/>
      <c r="K714" s="10"/>
      <c r="L714" s="10"/>
      <c r="M714" s="10"/>
      <c r="N714" s="10"/>
      <c r="O714" s="10"/>
      <c r="P714" s="10"/>
      <c r="Q714" s="10" t="str">
        <f>"303.27"</f>
        <v>303.27</v>
      </c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  <c r="AM714" s="10"/>
      <c r="AN714" s="10" t="str">
        <f>"282.57"</f>
        <v>282.57</v>
      </c>
      <c r="AO714" s="10" t="str">
        <f>"274.04"</f>
        <v>274.04</v>
      </c>
    </row>
    <row r="715" spans="1:41">
      <c r="A715" s="8">
        <v>713</v>
      </c>
      <c r="B715" s="8">
        <v>10844</v>
      </c>
      <c r="C715" s="8" t="s">
        <v>898</v>
      </c>
      <c r="D715" s="8" t="s">
        <v>10</v>
      </c>
      <c r="E715" s="2" t="str">
        <f>"278.42"</f>
        <v>278.42</v>
      </c>
      <c r="F715" s="9"/>
      <c r="G715" s="9">
        <v>2017</v>
      </c>
      <c r="H715" s="10" t="str">
        <f>"441.80"</f>
        <v>441.80</v>
      </c>
      <c r="I715" s="10"/>
      <c r="J715" s="10"/>
      <c r="K715" s="10"/>
      <c r="L715" s="10"/>
      <c r="M715" s="10"/>
      <c r="N715" s="10"/>
      <c r="O715" s="10"/>
      <c r="P715" s="10"/>
      <c r="Q715" s="10" t="str">
        <f>"363.67"</f>
        <v>363.67</v>
      </c>
      <c r="R715" s="10" t="str">
        <f>"404.23"</f>
        <v>404.23</v>
      </c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 t="str">
        <f>"239.67"</f>
        <v>239.67</v>
      </c>
      <c r="AF715" s="10" t="str">
        <f>"317.17"</f>
        <v>317.17</v>
      </c>
      <c r="AG715" s="10"/>
      <c r="AH715" s="10"/>
      <c r="AI715" s="10"/>
      <c r="AJ715" s="10"/>
      <c r="AK715" s="10"/>
      <c r="AL715" s="10"/>
      <c r="AM715" s="10"/>
      <c r="AN715" s="10"/>
      <c r="AO715" s="10"/>
    </row>
    <row r="716" spans="1:41">
      <c r="A716" s="8">
        <v>714</v>
      </c>
      <c r="B716" s="8">
        <v>8006</v>
      </c>
      <c r="C716" s="8" t="s">
        <v>899</v>
      </c>
      <c r="D716" s="8" t="s">
        <v>286</v>
      </c>
      <c r="E716" s="2" t="str">
        <f>"278.58"</f>
        <v>278.58</v>
      </c>
      <c r="F716" s="9" t="s">
        <v>11</v>
      </c>
      <c r="G716" s="9">
        <v>2017</v>
      </c>
      <c r="H716" s="10" t="str">
        <f>"238.58"</f>
        <v>238.58</v>
      </c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  <c r="AM716" s="10"/>
      <c r="AN716" s="10"/>
      <c r="AO716" s="10"/>
    </row>
    <row r="717" spans="1:41">
      <c r="A717" s="8">
        <v>715</v>
      </c>
      <c r="B717" s="8">
        <v>5502</v>
      </c>
      <c r="C717" s="8" t="s">
        <v>900</v>
      </c>
      <c r="D717" s="8" t="s">
        <v>12</v>
      </c>
      <c r="E717" s="2" t="str">
        <f>"278.58"</f>
        <v>278.58</v>
      </c>
      <c r="F717" s="9" t="s">
        <v>9</v>
      </c>
      <c r="G717" s="9">
        <v>2017</v>
      </c>
      <c r="H717" s="10" t="str">
        <f>"226.08"</f>
        <v>226.08</v>
      </c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 t="str">
        <f>"238.58"</f>
        <v>238.58</v>
      </c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  <c r="AM717" s="10"/>
      <c r="AN717" s="10"/>
      <c r="AO717" s="10"/>
    </row>
    <row r="718" spans="1:41">
      <c r="A718" s="8">
        <v>716</v>
      </c>
      <c r="B718" s="8">
        <v>2211</v>
      </c>
      <c r="C718" s="8" t="s">
        <v>901</v>
      </c>
      <c r="D718" s="8" t="s">
        <v>10</v>
      </c>
      <c r="E718" s="2" t="str">
        <f>"279.18"</f>
        <v>279.18</v>
      </c>
      <c r="F718" s="9"/>
      <c r="G718" s="9">
        <v>2017</v>
      </c>
      <c r="H718" s="10" t="str">
        <f>"275.22"</f>
        <v>275.22</v>
      </c>
      <c r="I718" s="10"/>
      <c r="J718" s="10"/>
      <c r="K718" s="10"/>
      <c r="L718" s="10"/>
      <c r="M718" s="10"/>
      <c r="N718" s="10"/>
      <c r="O718" s="10"/>
      <c r="P718" s="10"/>
      <c r="Q718" s="10" t="str">
        <f>"266.18"</f>
        <v>266.18</v>
      </c>
      <c r="R718" s="10" t="str">
        <f>"292.17"</f>
        <v>292.17</v>
      </c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  <c r="AM718" s="10"/>
      <c r="AN718" s="10"/>
      <c r="AO718" s="10"/>
    </row>
    <row r="719" spans="1:41">
      <c r="A719" s="8">
        <v>717</v>
      </c>
      <c r="B719" s="8">
        <v>11268</v>
      </c>
      <c r="C719" s="8" t="s">
        <v>902</v>
      </c>
      <c r="D719" s="8" t="s">
        <v>10</v>
      </c>
      <c r="E719" s="2" t="str">
        <f>"279.84"</f>
        <v>279.84</v>
      </c>
      <c r="F719" s="9"/>
      <c r="G719" s="9">
        <v>2017</v>
      </c>
      <c r="H719" s="10"/>
      <c r="I719" s="10"/>
      <c r="J719" s="10"/>
      <c r="K719" s="10"/>
      <c r="L719" s="10"/>
      <c r="M719" s="10"/>
      <c r="N719" s="10"/>
      <c r="O719" s="10"/>
      <c r="P719" s="10"/>
      <c r="Q719" s="10" t="str">
        <f>"316.49"</f>
        <v>316.49</v>
      </c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 t="str">
        <f>"439.05"</f>
        <v>439.05</v>
      </c>
      <c r="AM719" s="10"/>
      <c r="AN719" s="10" t="str">
        <f>"281.91"</f>
        <v>281.91</v>
      </c>
      <c r="AO719" s="10" t="str">
        <f>"277.76"</f>
        <v>277.76</v>
      </c>
    </row>
    <row r="720" spans="1:41">
      <c r="A720" s="8">
        <v>718</v>
      </c>
      <c r="B720" s="8">
        <v>2420</v>
      </c>
      <c r="C720" s="8" t="s">
        <v>903</v>
      </c>
      <c r="D720" s="8" t="s">
        <v>12</v>
      </c>
      <c r="E720" s="2" t="str">
        <f>"280.29"</f>
        <v>280.29</v>
      </c>
      <c r="F720" s="9" t="s">
        <v>11</v>
      </c>
      <c r="G720" s="9">
        <v>2017</v>
      </c>
      <c r="H720" s="10" t="str">
        <f>"240.29"</f>
        <v>240.29</v>
      </c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  <c r="AM720" s="10"/>
      <c r="AN720" s="10"/>
      <c r="AO720" s="10"/>
    </row>
    <row r="721" spans="1:41">
      <c r="A721" s="8">
        <v>719</v>
      </c>
      <c r="B721" s="8">
        <v>6864</v>
      </c>
      <c r="C721" s="8" t="s">
        <v>904</v>
      </c>
      <c r="D721" s="8" t="s">
        <v>12</v>
      </c>
      <c r="E721" s="2" t="str">
        <f>"280.63"</f>
        <v>280.63</v>
      </c>
      <c r="F721" s="9" t="s">
        <v>11</v>
      </c>
      <c r="G721" s="9">
        <v>2017</v>
      </c>
      <c r="H721" s="10" t="str">
        <f>"240.63"</f>
        <v>240.63</v>
      </c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  <c r="AM721" s="10"/>
      <c r="AN721" s="10"/>
      <c r="AO721" s="10"/>
    </row>
    <row r="722" spans="1:41">
      <c r="A722" s="8">
        <v>720</v>
      </c>
      <c r="B722" s="8">
        <v>11121</v>
      </c>
      <c r="C722" s="8" t="s">
        <v>905</v>
      </c>
      <c r="D722" s="8" t="s">
        <v>19</v>
      </c>
      <c r="E722" s="2" t="str">
        <f>"280.74"</f>
        <v>280.74</v>
      </c>
      <c r="F722" s="9"/>
      <c r="G722" s="9">
        <v>2017</v>
      </c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 t="str">
        <f>"321.43"</f>
        <v>321.43</v>
      </c>
      <c r="T722" s="10"/>
      <c r="U722" s="10"/>
      <c r="V722" s="10" t="str">
        <f>"291.28"</f>
        <v>291.28</v>
      </c>
      <c r="W722" s="10"/>
      <c r="X722" s="10"/>
      <c r="Y722" s="10" t="str">
        <f>"301.72"</f>
        <v>301.72</v>
      </c>
      <c r="Z722" s="10"/>
      <c r="AA722" s="10"/>
      <c r="AB722" s="10" t="str">
        <f>"270.20"</f>
        <v>270.20</v>
      </c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  <c r="AM722" s="10"/>
      <c r="AN722" s="10"/>
      <c r="AO722" s="10"/>
    </row>
    <row r="723" spans="1:41">
      <c r="A723" s="8">
        <v>721</v>
      </c>
      <c r="B723" s="8">
        <v>3369</v>
      </c>
      <c r="C723" s="8" t="s">
        <v>906</v>
      </c>
      <c r="D723" s="8" t="s">
        <v>78</v>
      </c>
      <c r="E723" s="2" t="str">
        <f>"280.84"</f>
        <v>280.84</v>
      </c>
      <c r="F723" s="9"/>
      <c r="G723" s="9">
        <v>2017</v>
      </c>
      <c r="H723" s="10" t="str">
        <f>"305.75"</f>
        <v>305.75</v>
      </c>
      <c r="I723" s="10"/>
      <c r="J723" s="10"/>
      <c r="K723" s="10"/>
      <c r="L723" s="10"/>
      <c r="M723" s="10"/>
      <c r="N723" s="10" t="str">
        <f>"363.15"</f>
        <v>363.15</v>
      </c>
      <c r="O723" s="10"/>
      <c r="P723" s="10" t="str">
        <f>"278.38"</f>
        <v>278.38</v>
      </c>
      <c r="Q723" s="10"/>
      <c r="R723" s="10"/>
      <c r="S723" s="10"/>
      <c r="T723" s="10" t="str">
        <f>"308.18"</f>
        <v>308.18</v>
      </c>
      <c r="U723" s="10"/>
      <c r="V723" s="10"/>
      <c r="W723" s="10"/>
      <c r="X723" s="10"/>
      <c r="Y723" s="10"/>
      <c r="Z723" s="10"/>
      <c r="AA723" s="10" t="str">
        <f>"283.30"</f>
        <v>283.30</v>
      </c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  <c r="AM723" s="10"/>
      <c r="AN723" s="10"/>
      <c r="AO723" s="10"/>
    </row>
    <row r="724" spans="1:41">
      <c r="A724" s="8">
        <v>722</v>
      </c>
      <c r="B724" s="8">
        <v>10141</v>
      </c>
      <c r="C724" s="8" t="s">
        <v>907</v>
      </c>
      <c r="D724" s="8" t="s">
        <v>10</v>
      </c>
      <c r="E724" s="2" t="str">
        <f>"280.91"</f>
        <v>280.91</v>
      </c>
      <c r="F724" s="9"/>
      <c r="G724" s="9">
        <v>2017</v>
      </c>
      <c r="H724" s="10" t="str">
        <f>"487.39"</f>
        <v>487.39</v>
      </c>
      <c r="I724" s="10"/>
      <c r="J724" s="10"/>
      <c r="K724" s="10"/>
      <c r="L724" s="10"/>
      <c r="M724" s="10"/>
      <c r="N724" s="10"/>
      <c r="O724" s="10"/>
      <c r="P724" s="10"/>
      <c r="Q724" s="10" t="str">
        <f>"372.95"</f>
        <v>372.95</v>
      </c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 t="str">
        <f>"280.04"</f>
        <v>280.04</v>
      </c>
      <c r="AF724" s="10"/>
      <c r="AG724" s="10"/>
      <c r="AH724" s="10"/>
      <c r="AI724" s="10"/>
      <c r="AJ724" s="10"/>
      <c r="AK724" s="10"/>
      <c r="AL724" s="10"/>
      <c r="AM724" s="10"/>
      <c r="AN724" s="10" t="str">
        <f>"281.78"</f>
        <v>281.78</v>
      </c>
      <c r="AO724" s="10" t="str">
        <f>"293.71"</f>
        <v>293.71</v>
      </c>
    </row>
    <row r="725" spans="1:41">
      <c r="A725" s="8">
        <v>723</v>
      </c>
      <c r="B725" s="8">
        <v>10771</v>
      </c>
      <c r="C725" s="8" t="s">
        <v>908</v>
      </c>
      <c r="D725" s="8" t="s">
        <v>19</v>
      </c>
      <c r="E725" s="2" t="str">
        <f>"280.95"</f>
        <v>280.95</v>
      </c>
      <c r="F725" s="9"/>
      <c r="G725" s="9">
        <v>2017</v>
      </c>
      <c r="H725" s="10" t="str">
        <f>"443.97"</f>
        <v>443.97</v>
      </c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 t="str">
        <f>"337.77"</f>
        <v>337.77</v>
      </c>
      <c r="AC725" s="10"/>
      <c r="AD725" s="10"/>
      <c r="AE725" s="10"/>
      <c r="AF725" s="10"/>
      <c r="AG725" s="10"/>
      <c r="AH725" s="10"/>
      <c r="AI725" s="10"/>
      <c r="AJ725" s="10" t="str">
        <f>"260.02"</f>
        <v>260.02</v>
      </c>
      <c r="AK725" s="10"/>
      <c r="AL725" s="10"/>
      <c r="AM725" s="10" t="str">
        <f>"301.87"</f>
        <v>301.87</v>
      </c>
      <c r="AN725" s="10"/>
      <c r="AO725" s="10"/>
    </row>
    <row r="726" spans="1:41">
      <c r="A726" s="8">
        <v>724</v>
      </c>
      <c r="B726" s="8">
        <v>1426</v>
      </c>
      <c r="C726" s="8" t="s">
        <v>909</v>
      </c>
      <c r="D726" s="8" t="s">
        <v>73</v>
      </c>
      <c r="E726" s="2" t="str">
        <f>"281.23"</f>
        <v>281.23</v>
      </c>
      <c r="F726" s="9" t="s">
        <v>9</v>
      </c>
      <c r="G726" s="9">
        <v>2017</v>
      </c>
      <c r="H726" s="10" t="str">
        <f>"180.72"</f>
        <v>180.72</v>
      </c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 t="str">
        <f>"241.23"</f>
        <v>241.23</v>
      </c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  <c r="AM726" s="10"/>
      <c r="AN726" s="10"/>
      <c r="AO726" s="10"/>
    </row>
    <row r="727" spans="1:41">
      <c r="A727" s="8">
        <v>725</v>
      </c>
      <c r="B727" s="8">
        <v>10656</v>
      </c>
      <c r="C727" s="8" t="s">
        <v>910</v>
      </c>
      <c r="D727" s="8" t="s">
        <v>14</v>
      </c>
      <c r="E727" s="2" t="str">
        <f>"281.49"</f>
        <v>281.49</v>
      </c>
      <c r="F727" s="9"/>
      <c r="G727" s="9">
        <v>2017</v>
      </c>
      <c r="H727" s="10" t="str">
        <f>"349.57"</f>
        <v>349.57</v>
      </c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 t="str">
        <f>"334.44"</f>
        <v>334.44</v>
      </c>
      <c r="V727" s="10"/>
      <c r="W727" s="10" t="str">
        <f>"228.54"</f>
        <v>228.54</v>
      </c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  <c r="AM727" s="10"/>
      <c r="AN727" s="10"/>
      <c r="AO727" s="10"/>
    </row>
    <row r="728" spans="1:41">
      <c r="A728" s="8">
        <v>726</v>
      </c>
      <c r="B728" s="8">
        <v>9905</v>
      </c>
      <c r="C728" s="8" t="s">
        <v>911</v>
      </c>
      <c r="D728" s="8" t="s">
        <v>336</v>
      </c>
      <c r="E728" s="2" t="str">
        <f>"282.52"</f>
        <v>282.52</v>
      </c>
      <c r="F728" s="9" t="s">
        <v>11</v>
      </c>
      <c r="G728" s="9">
        <v>2017</v>
      </c>
      <c r="H728" s="10" t="str">
        <f>"242.52"</f>
        <v>242.52</v>
      </c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  <c r="AM728" s="10"/>
      <c r="AN728" s="10"/>
      <c r="AO728" s="10"/>
    </row>
    <row r="729" spans="1:41">
      <c r="A729" s="8">
        <v>727</v>
      </c>
      <c r="B729" s="8">
        <v>10971</v>
      </c>
      <c r="C729" s="8" t="s">
        <v>912</v>
      </c>
      <c r="D729" s="8" t="s">
        <v>14</v>
      </c>
      <c r="E729" s="2" t="str">
        <f>"282.60"</f>
        <v>282.60</v>
      </c>
      <c r="F729" s="9"/>
      <c r="G729" s="9">
        <v>2017</v>
      </c>
      <c r="H729" s="10" t="str">
        <f>"530.63"</f>
        <v>530.63</v>
      </c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 t="str">
        <f>"337.63"</f>
        <v>337.63</v>
      </c>
      <c r="V729" s="10"/>
      <c r="W729" s="10" t="str">
        <f>"227.56"</f>
        <v>227.56</v>
      </c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  <c r="AM729" s="10"/>
      <c r="AN729" s="10"/>
      <c r="AO729" s="10"/>
    </row>
    <row r="730" spans="1:41">
      <c r="A730" s="8">
        <v>728</v>
      </c>
      <c r="B730" s="8">
        <v>11097</v>
      </c>
      <c r="C730" s="8" t="s">
        <v>913</v>
      </c>
      <c r="D730" s="8" t="s">
        <v>14</v>
      </c>
      <c r="E730" s="2" t="str">
        <f>"282.76"</f>
        <v>282.76</v>
      </c>
      <c r="F730" s="9"/>
      <c r="G730" s="9">
        <v>2017</v>
      </c>
      <c r="H730" s="10" t="str">
        <f>"379.50"</f>
        <v>379.50</v>
      </c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 t="str">
        <f>"356.04"</f>
        <v>356.04</v>
      </c>
      <c r="V730" s="10"/>
      <c r="W730" s="10" t="str">
        <f>"209.48"</f>
        <v>209.48</v>
      </c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  <c r="AM730" s="10"/>
      <c r="AN730" s="10"/>
      <c r="AO730" s="10"/>
    </row>
    <row r="731" spans="1:41">
      <c r="A731" s="8">
        <v>729</v>
      </c>
      <c r="B731" s="8">
        <v>6369</v>
      </c>
      <c r="C731" s="8" t="s">
        <v>914</v>
      </c>
      <c r="D731" s="8" t="s">
        <v>915</v>
      </c>
      <c r="E731" s="2" t="str">
        <f>"282.77"</f>
        <v>282.77</v>
      </c>
      <c r="F731" s="9" t="s">
        <v>9</v>
      </c>
      <c r="G731" s="9">
        <v>2017</v>
      </c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 t="str">
        <f>"242.77"</f>
        <v>242.77</v>
      </c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  <c r="AM731" s="10"/>
      <c r="AN731" s="10"/>
      <c r="AO731" s="10"/>
    </row>
    <row r="732" spans="1:41">
      <c r="A732" s="8">
        <v>730</v>
      </c>
      <c r="B732" s="8">
        <v>10578</v>
      </c>
      <c r="C732" s="8" t="s">
        <v>916</v>
      </c>
      <c r="D732" s="8" t="s">
        <v>10</v>
      </c>
      <c r="E732" s="2" t="str">
        <f>"283.19"</f>
        <v>283.19</v>
      </c>
      <c r="F732" s="9" t="s">
        <v>11</v>
      </c>
      <c r="G732" s="9">
        <v>2017</v>
      </c>
      <c r="H732" s="10" t="str">
        <f>"243.19"</f>
        <v>243.19</v>
      </c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  <c r="AM732" s="10"/>
      <c r="AN732" s="10"/>
      <c r="AO732" s="10"/>
    </row>
    <row r="733" spans="1:41">
      <c r="A733" s="8">
        <v>731</v>
      </c>
      <c r="B733" s="8">
        <v>11040</v>
      </c>
      <c r="C733" s="8" t="s">
        <v>917</v>
      </c>
      <c r="D733" s="8" t="s">
        <v>12</v>
      </c>
      <c r="E733" s="2" t="str">
        <f>"283.27"</f>
        <v>283.27</v>
      </c>
      <c r="F733" s="9"/>
      <c r="G733" s="9">
        <v>2017</v>
      </c>
      <c r="H733" s="10" t="str">
        <f>"354.88"</f>
        <v>354.88</v>
      </c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 t="str">
        <f>"339.22"</f>
        <v>339.22</v>
      </c>
      <c r="V733" s="10"/>
      <c r="W733" s="10" t="str">
        <f>"227.32"</f>
        <v>227.32</v>
      </c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  <c r="AM733" s="10"/>
      <c r="AN733" s="10"/>
      <c r="AO733" s="10"/>
    </row>
    <row r="734" spans="1:41">
      <c r="A734" s="8">
        <v>732</v>
      </c>
      <c r="B734" s="8">
        <v>9468</v>
      </c>
      <c r="C734" s="8" t="s">
        <v>918</v>
      </c>
      <c r="D734" s="8" t="s">
        <v>571</v>
      </c>
      <c r="E734" s="2" t="str">
        <f>"283.29"</f>
        <v>283.29</v>
      </c>
      <c r="F734" s="9"/>
      <c r="G734" s="9">
        <v>2017</v>
      </c>
      <c r="H734" s="10" t="str">
        <f>"415.09"</f>
        <v>415.09</v>
      </c>
      <c r="I734" s="10"/>
      <c r="J734" s="10"/>
      <c r="K734" s="10"/>
      <c r="L734" s="10"/>
      <c r="M734" s="10" t="str">
        <f>"285.40"</f>
        <v>285.40</v>
      </c>
      <c r="N734" s="10"/>
      <c r="O734" s="10" t="str">
        <f>"281.18"</f>
        <v>281.18</v>
      </c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 t="str">
        <f>"330.58"</f>
        <v>330.58</v>
      </c>
      <c r="AD734" s="10" t="str">
        <f>"363.16"</f>
        <v>363.16</v>
      </c>
      <c r="AE734" s="10"/>
      <c r="AF734" s="10"/>
      <c r="AG734" s="10"/>
      <c r="AH734" s="10"/>
      <c r="AI734" s="10" t="str">
        <f>"326.50"</f>
        <v>326.50</v>
      </c>
      <c r="AJ734" s="10"/>
      <c r="AK734" s="10"/>
      <c r="AL734" s="10"/>
      <c r="AM734" s="10"/>
      <c r="AN734" s="10"/>
      <c r="AO734" s="10"/>
    </row>
    <row r="735" spans="1:41">
      <c r="A735" s="8">
        <v>733</v>
      </c>
      <c r="B735" s="8">
        <v>10344</v>
      </c>
      <c r="C735" s="8" t="s">
        <v>919</v>
      </c>
      <c r="D735" s="8" t="s">
        <v>10</v>
      </c>
      <c r="E735" s="2" t="str">
        <f>"283.43"</f>
        <v>283.43</v>
      </c>
      <c r="F735" s="9"/>
      <c r="G735" s="9">
        <v>2017</v>
      </c>
      <c r="H735" s="10" t="str">
        <f>"379.48"</f>
        <v>379.48</v>
      </c>
      <c r="I735" s="10"/>
      <c r="J735" s="10"/>
      <c r="K735" s="10"/>
      <c r="L735" s="10"/>
      <c r="M735" s="10"/>
      <c r="N735" s="10"/>
      <c r="O735" s="10"/>
      <c r="P735" s="10"/>
      <c r="Q735" s="10" t="str">
        <f>"260.04"</f>
        <v>260.04</v>
      </c>
      <c r="R735" s="10" t="str">
        <f>"306.82"</f>
        <v>306.82</v>
      </c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  <c r="AM735" s="10"/>
      <c r="AN735" s="10"/>
      <c r="AO735" s="10"/>
    </row>
    <row r="736" spans="1:41">
      <c r="A736" s="8">
        <v>734</v>
      </c>
      <c r="B736" s="8">
        <v>1311</v>
      </c>
      <c r="C736" s="8" t="s">
        <v>920</v>
      </c>
      <c r="D736" s="8" t="s">
        <v>68</v>
      </c>
      <c r="E736" s="2" t="str">
        <f>"283.51"</f>
        <v>283.51</v>
      </c>
      <c r="F736" s="9"/>
      <c r="G736" s="9">
        <v>2017</v>
      </c>
      <c r="H736" s="10" t="str">
        <f>"510.83"</f>
        <v>510.83</v>
      </c>
      <c r="I736" s="10"/>
      <c r="J736" s="10"/>
      <c r="K736" s="10"/>
      <c r="L736" s="10"/>
      <c r="M736" s="10" t="str">
        <f>"460.01"</f>
        <v>460.01</v>
      </c>
      <c r="N736" s="10"/>
      <c r="O736" s="10" t="str">
        <f>"286.13"</f>
        <v>286.13</v>
      </c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 t="str">
        <f>"280.88"</f>
        <v>280.88</v>
      </c>
      <c r="AH736" s="10" t="str">
        <f>"411.61"</f>
        <v>411.61</v>
      </c>
      <c r="AI736" s="10"/>
      <c r="AJ736" s="10"/>
      <c r="AK736" s="10"/>
      <c r="AL736" s="10"/>
      <c r="AM736" s="10"/>
      <c r="AN736" s="10"/>
      <c r="AO736" s="10"/>
    </row>
    <row r="737" spans="1:41">
      <c r="A737" s="8">
        <v>735</v>
      </c>
      <c r="B737" s="8">
        <v>1308</v>
      </c>
      <c r="C737" s="8" t="s">
        <v>921</v>
      </c>
      <c r="D737" s="8" t="s">
        <v>92</v>
      </c>
      <c r="E737" s="2" t="str">
        <f>"283.53"</f>
        <v>283.53</v>
      </c>
      <c r="F737" s="9" t="s">
        <v>11</v>
      </c>
      <c r="G737" s="9">
        <v>2017</v>
      </c>
      <c r="H737" s="10" t="str">
        <f>"243.53"</f>
        <v>243.53</v>
      </c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  <c r="AM737" s="10"/>
      <c r="AN737" s="10"/>
      <c r="AO737" s="10"/>
    </row>
    <row r="738" spans="1:41">
      <c r="A738" s="8">
        <v>736</v>
      </c>
      <c r="B738" s="8">
        <v>2263</v>
      </c>
      <c r="C738" s="8" t="s">
        <v>922</v>
      </c>
      <c r="D738" s="8" t="s">
        <v>10</v>
      </c>
      <c r="E738" s="2" t="str">
        <f>"283.82"</f>
        <v>283.82</v>
      </c>
      <c r="F738" s="9"/>
      <c r="G738" s="9">
        <v>2017</v>
      </c>
      <c r="H738" s="10" t="str">
        <f>"301.18"</f>
        <v>301.18</v>
      </c>
      <c r="I738" s="10"/>
      <c r="J738" s="10"/>
      <c r="K738" s="10"/>
      <c r="L738" s="10"/>
      <c r="M738" s="10"/>
      <c r="N738" s="10"/>
      <c r="O738" s="10"/>
      <c r="P738" s="10"/>
      <c r="Q738" s="10" t="str">
        <f>"261.82"</f>
        <v>261.82</v>
      </c>
      <c r="R738" s="10" t="str">
        <f>"305.81"</f>
        <v>305.81</v>
      </c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  <c r="AM738" s="10"/>
      <c r="AN738" s="10"/>
      <c r="AO738" s="10"/>
    </row>
    <row r="739" spans="1:41">
      <c r="A739" s="8">
        <v>737</v>
      </c>
      <c r="B739" s="8">
        <v>5513</v>
      </c>
      <c r="C739" s="8" t="s">
        <v>923</v>
      </c>
      <c r="D739" s="8" t="s">
        <v>924</v>
      </c>
      <c r="E739" s="2" t="str">
        <f>"283.92"</f>
        <v>283.92</v>
      </c>
      <c r="F739" s="9" t="s">
        <v>9</v>
      </c>
      <c r="G739" s="9">
        <v>2017</v>
      </c>
      <c r="H739" s="10" t="str">
        <f>"234.06"</f>
        <v>234.06</v>
      </c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 t="str">
        <f>"243.92"</f>
        <v>243.92</v>
      </c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  <c r="AM739" s="10"/>
      <c r="AN739" s="10"/>
      <c r="AO739" s="10"/>
    </row>
    <row r="740" spans="1:41">
      <c r="A740" s="8">
        <v>738</v>
      </c>
      <c r="B740" s="8">
        <v>1269</v>
      </c>
      <c r="C740" s="8" t="s">
        <v>925</v>
      </c>
      <c r="D740" s="8" t="s">
        <v>12</v>
      </c>
      <c r="E740" s="2" t="str">
        <f>"284.47"</f>
        <v>284.47</v>
      </c>
      <c r="F740" s="9"/>
      <c r="G740" s="9">
        <v>2017</v>
      </c>
      <c r="H740" s="10" t="str">
        <f>"413.93"</f>
        <v>413.93</v>
      </c>
      <c r="I740" s="10"/>
      <c r="J740" s="10"/>
      <c r="K740" s="10"/>
      <c r="L740" s="10"/>
      <c r="M740" s="10" t="str">
        <f>"313.01"</f>
        <v>313.01</v>
      </c>
      <c r="N740" s="10"/>
      <c r="O740" s="10" t="str">
        <f>"255.92"</f>
        <v>255.92</v>
      </c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  <c r="AL740" s="10"/>
      <c r="AM740" s="10"/>
      <c r="AN740" s="10"/>
      <c r="AO740" s="10"/>
    </row>
    <row r="741" spans="1:41">
      <c r="A741" s="8">
        <v>739</v>
      </c>
      <c r="B741" s="8">
        <v>4884</v>
      </c>
      <c r="C741" s="8" t="s">
        <v>926</v>
      </c>
      <c r="D741" s="8" t="s">
        <v>92</v>
      </c>
      <c r="E741" s="2" t="str">
        <f>"284.93"</f>
        <v>284.93</v>
      </c>
      <c r="F741" s="9" t="s">
        <v>9</v>
      </c>
      <c r="G741" s="9">
        <v>2017</v>
      </c>
      <c r="H741" s="10" t="str">
        <f>"193.73"</f>
        <v>193.73</v>
      </c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 t="str">
        <f>"244.93"</f>
        <v>244.93</v>
      </c>
      <c r="AJ741" s="10"/>
      <c r="AK741" s="10"/>
      <c r="AL741" s="10"/>
      <c r="AM741" s="10"/>
      <c r="AN741" s="10"/>
      <c r="AO741" s="10"/>
    </row>
    <row r="742" spans="1:41">
      <c r="A742" s="8">
        <v>740</v>
      </c>
      <c r="B742" s="8">
        <v>2278</v>
      </c>
      <c r="C742" s="8" t="s">
        <v>927</v>
      </c>
      <c r="D742" s="8" t="s">
        <v>10</v>
      </c>
      <c r="E742" s="2" t="str">
        <f>"285.41"</f>
        <v>285.41</v>
      </c>
      <c r="F742" s="9"/>
      <c r="G742" s="9">
        <v>2017</v>
      </c>
      <c r="H742" s="10" t="str">
        <f>"280.95"</f>
        <v>280.95</v>
      </c>
      <c r="I742" s="10"/>
      <c r="J742" s="10"/>
      <c r="K742" s="10"/>
      <c r="L742" s="10"/>
      <c r="M742" s="10"/>
      <c r="N742" s="10"/>
      <c r="O742" s="10"/>
      <c r="P742" s="10"/>
      <c r="Q742" s="10" t="str">
        <f>"301.22"</f>
        <v>301.22</v>
      </c>
      <c r="R742" s="10" t="str">
        <f>"390.68"</f>
        <v>390.68</v>
      </c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 t="str">
        <f>"269.59"</f>
        <v>269.59</v>
      </c>
      <c r="AF742" s="10"/>
      <c r="AG742" s="10"/>
      <c r="AH742" s="10"/>
      <c r="AI742" s="10"/>
      <c r="AJ742" s="10"/>
      <c r="AK742" s="10"/>
      <c r="AL742" s="10"/>
      <c r="AM742" s="10"/>
      <c r="AN742" s="10"/>
      <c r="AO742" s="10"/>
    </row>
    <row r="743" spans="1:41">
      <c r="A743" s="8">
        <v>741</v>
      </c>
      <c r="B743" s="8">
        <v>2982</v>
      </c>
      <c r="C743" s="8" t="s">
        <v>928</v>
      </c>
      <c r="D743" s="8" t="s">
        <v>73</v>
      </c>
      <c r="E743" s="2" t="str">
        <f>"285.48"</f>
        <v>285.48</v>
      </c>
      <c r="F743" s="9"/>
      <c r="G743" s="9">
        <v>2017</v>
      </c>
      <c r="H743" s="10" t="str">
        <f>"266.45"</f>
        <v>266.45</v>
      </c>
      <c r="I743" s="10"/>
      <c r="J743" s="10"/>
      <c r="K743" s="10"/>
      <c r="L743" s="10"/>
      <c r="M743" s="10"/>
      <c r="N743" s="10" t="str">
        <f>"292.08"</f>
        <v>292.08</v>
      </c>
      <c r="O743" s="10"/>
      <c r="P743" s="10" t="str">
        <f>"309.18"</f>
        <v>309.18</v>
      </c>
      <c r="Q743" s="10"/>
      <c r="R743" s="10"/>
      <c r="S743" s="10"/>
      <c r="T743" s="10" t="str">
        <f>"278.87"</f>
        <v>278.87</v>
      </c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  <c r="AM743" s="10"/>
      <c r="AN743" s="10"/>
      <c r="AO743" s="10"/>
    </row>
    <row r="744" spans="1:41">
      <c r="A744" s="8">
        <v>742</v>
      </c>
      <c r="B744" s="8">
        <v>2834</v>
      </c>
      <c r="C744" s="8" t="s">
        <v>929</v>
      </c>
      <c r="D744" s="8" t="s">
        <v>40</v>
      </c>
      <c r="E744" s="2" t="str">
        <f>"285.52"</f>
        <v>285.52</v>
      </c>
      <c r="F744" s="9"/>
      <c r="G744" s="9">
        <v>2017</v>
      </c>
      <c r="H744" s="10" t="str">
        <f>"263.79"</f>
        <v>263.79</v>
      </c>
      <c r="I744" s="10"/>
      <c r="J744" s="10"/>
      <c r="K744" s="10"/>
      <c r="L744" s="10"/>
      <c r="M744" s="10"/>
      <c r="N744" s="10" t="str">
        <f>"290.85"</f>
        <v>290.85</v>
      </c>
      <c r="O744" s="10"/>
      <c r="P744" s="10" t="str">
        <f>"280.19"</f>
        <v>280.19</v>
      </c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  <c r="AL744" s="10"/>
      <c r="AM744" s="10"/>
      <c r="AN744" s="10"/>
      <c r="AO744" s="10"/>
    </row>
    <row r="745" spans="1:41">
      <c r="A745" s="8">
        <v>743</v>
      </c>
      <c r="B745" s="8">
        <v>2200</v>
      </c>
      <c r="C745" s="8" t="s">
        <v>930</v>
      </c>
      <c r="D745" s="8" t="s">
        <v>10</v>
      </c>
      <c r="E745" s="2" t="str">
        <f>"285.71"</f>
        <v>285.71</v>
      </c>
      <c r="F745" s="9" t="s">
        <v>11</v>
      </c>
      <c r="G745" s="9">
        <v>2017</v>
      </c>
      <c r="H745" s="10" t="str">
        <f>"245.71"</f>
        <v>245.71</v>
      </c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  <c r="AM745" s="10"/>
      <c r="AN745" s="10"/>
      <c r="AO745" s="10"/>
    </row>
    <row r="746" spans="1:41">
      <c r="A746" s="8">
        <v>744</v>
      </c>
      <c r="B746" s="8">
        <v>1243</v>
      </c>
      <c r="C746" s="8" t="s">
        <v>931</v>
      </c>
      <c r="D746" s="8" t="s">
        <v>653</v>
      </c>
      <c r="E746" s="2" t="str">
        <f>"285.96"</f>
        <v>285.96</v>
      </c>
      <c r="F746" s="9"/>
      <c r="G746" s="9">
        <v>2017</v>
      </c>
      <c r="H746" s="10" t="str">
        <f>"210.77"</f>
        <v>210.77</v>
      </c>
      <c r="I746" s="10"/>
      <c r="J746" s="10"/>
      <c r="K746" s="10"/>
      <c r="L746" s="10"/>
      <c r="M746" s="10"/>
      <c r="N746" s="10" t="str">
        <f>"284.67"</f>
        <v>284.67</v>
      </c>
      <c r="O746" s="10"/>
      <c r="P746" s="10" t="str">
        <f>"287.25"</f>
        <v>287.25</v>
      </c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  <c r="AM746" s="10"/>
      <c r="AN746" s="10"/>
      <c r="AO746" s="10"/>
    </row>
    <row r="747" spans="1:41">
      <c r="A747" s="8">
        <v>745</v>
      </c>
      <c r="B747" s="8">
        <v>10954</v>
      </c>
      <c r="C747" s="8" t="s">
        <v>932</v>
      </c>
      <c r="D747" s="8" t="s">
        <v>60</v>
      </c>
      <c r="E747" s="2" t="str">
        <f>"287.04"</f>
        <v>287.04</v>
      </c>
      <c r="F747" s="9" t="s">
        <v>11</v>
      </c>
      <c r="G747" s="9">
        <v>2017</v>
      </c>
      <c r="H747" s="10" t="str">
        <f>"247.04"</f>
        <v>247.04</v>
      </c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  <c r="AL747" s="10"/>
      <c r="AM747" s="10"/>
      <c r="AN747" s="10"/>
      <c r="AO747" s="10"/>
    </row>
    <row r="748" spans="1:41">
      <c r="A748" s="8">
        <v>746</v>
      </c>
      <c r="B748" s="8">
        <v>5336</v>
      </c>
      <c r="C748" s="8" t="s">
        <v>933</v>
      </c>
      <c r="D748" s="8" t="s">
        <v>59</v>
      </c>
      <c r="E748" s="2" t="str">
        <f>"287.61"</f>
        <v>287.61</v>
      </c>
      <c r="F748" s="9" t="s">
        <v>9</v>
      </c>
      <c r="G748" s="9">
        <v>2017</v>
      </c>
      <c r="H748" s="10" t="str">
        <f>"425.57"</f>
        <v>425.57</v>
      </c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  <c r="AL748" s="10"/>
      <c r="AM748" s="10" t="str">
        <f>"247.61"</f>
        <v>247.61</v>
      </c>
      <c r="AN748" s="10"/>
      <c r="AO748" s="10"/>
    </row>
    <row r="749" spans="1:41">
      <c r="A749" s="8">
        <v>747</v>
      </c>
      <c r="B749" s="8">
        <v>10831</v>
      </c>
      <c r="C749" s="8" t="s">
        <v>934</v>
      </c>
      <c r="D749" s="8" t="s">
        <v>19</v>
      </c>
      <c r="E749" s="2" t="str">
        <f>"287.92"</f>
        <v>287.92</v>
      </c>
      <c r="F749" s="9" t="s">
        <v>9</v>
      </c>
      <c r="G749" s="9">
        <v>2017</v>
      </c>
      <c r="H749" s="10" t="str">
        <f>"507.50"</f>
        <v>507.50</v>
      </c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 t="str">
        <f>"247.92"</f>
        <v>247.92</v>
      </c>
      <c r="AC749" s="10"/>
      <c r="AD749" s="10"/>
      <c r="AE749" s="10"/>
      <c r="AF749" s="10"/>
      <c r="AG749" s="10"/>
      <c r="AH749" s="10"/>
      <c r="AI749" s="10"/>
      <c r="AJ749" s="10"/>
      <c r="AK749" s="10"/>
      <c r="AL749" s="10"/>
      <c r="AM749" s="10"/>
      <c r="AN749" s="10"/>
      <c r="AO749" s="10"/>
    </row>
    <row r="750" spans="1:41">
      <c r="A750" s="8">
        <v>748</v>
      </c>
      <c r="B750" s="8">
        <v>1989</v>
      </c>
      <c r="C750" s="8" t="s">
        <v>935</v>
      </c>
      <c r="D750" s="8" t="s">
        <v>14</v>
      </c>
      <c r="E750" s="2" t="str">
        <f>"288.53"</f>
        <v>288.53</v>
      </c>
      <c r="F750" s="9" t="s">
        <v>11</v>
      </c>
      <c r="G750" s="9">
        <v>2017</v>
      </c>
      <c r="H750" s="10" t="str">
        <f>"248.53"</f>
        <v>248.53</v>
      </c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  <c r="AL750" s="10"/>
      <c r="AM750" s="10"/>
      <c r="AN750" s="10"/>
      <c r="AO750" s="10"/>
    </row>
    <row r="751" spans="1:41">
      <c r="A751" s="8">
        <v>749</v>
      </c>
      <c r="B751" s="8">
        <v>2382</v>
      </c>
      <c r="C751" s="8" t="s">
        <v>936</v>
      </c>
      <c r="D751" s="8" t="s">
        <v>34</v>
      </c>
      <c r="E751" s="2" t="str">
        <f>"288.66"</f>
        <v>288.66</v>
      </c>
      <c r="F751" s="9" t="s">
        <v>9</v>
      </c>
      <c r="G751" s="9">
        <v>2017</v>
      </c>
      <c r="H751" s="10" t="str">
        <f>"262.25"</f>
        <v>262.25</v>
      </c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 t="str">
        <f>"248.66"</f>
        <v>248.66</v>
      </c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  <c r="AL751" s="10"/>
      <c r="AM751" s="10"/>
      <c r="AN751" s="10"/>
      <c r="AO751" s="10"/>
    </row>
    <row r="752" spans="1:41">
      <c r="A752" s="8">
        <v>750</v>
      </c>
      <c r="B752" s="8">
        <v>10892</v>
      </c>
      <c r="C752" s="8" t="s">
        <v>937</v>
      </c>
      <c r="D752" s="8" t="s">
        <v>10</v>
      </c>
      <c r="E752" s="2" t="str">
        <f>"289.09"</f>
        <v>289.09</v>
      </c>
      <c r="F752" s="9"/>
      <c r="G752" s="9">
        <v>2017</v>
      </c>
      <c r="H752" s="10" t="str">
        <f>"519.19"</f>
        <v>519.19</v>
      </c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  <c r="AM752" s="10"/>
      <c r="AN752" s="10" t="str">
        <f>"275.82"</f>
        <v>275.82</v>
      </c>
      <c r="AO752" s="10" t="str">
        <f>"302.35"</f>
        <v>302.35</v>
      </c>
    </row>
    <row r="753" spans="1:41">
      <c r="A753" s="8">
        <v>751</v>
      </c>
      <c r="B753" s="8">
        <v>778</v>
      </c>
      <c r="C753" s="8" t="s">
        <v>938</v>
      </c>
      <c r="D753" s="8" t="s">
        <v>939</v>
      </c>
      <c r="E753" s="2" t="str">
        <f>"289.95"</f>
        <v>289.95</v>
      </c>
      <c r="F753" s="9" t="s">
        <v>9</v>
      </c>
      <c r="G753" s="9">
        <v>2017</v>
      </c>
      <c r="H753" s="10" t="str">
        <f>"351.97"</f>
        <v>351.97</v>
      </c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 t="str">
        <f>"249.95"</f>
        <v>249.95</v>
      </c>
      <c r="AL753" s="10"/>
      <c r="AM753" s="10"/>
      <c r="AN753" s="10"/>
      <c r="AO753" s="10"/>
    </row>
    <row r="754" spans="1:41">
      <c r="A754" s="8">
        <v>752</v>
      </c>
      <c r="B754" s="8">
        <v>11318</v>
      </c>
      <c r="C754" s="8" t="s">
        <v>940</v>
      </c>
      <c r="D754" s="8" t="s">
        <v>10</v>
      </c>
      <c r="E754" s="2" t="str">
        <f>"290.06"</f>
        <v>290.06</v>
      </c>
      <c r="F754" s="9"/>
      <c r="G754" s="9">
        <v>2017</v>
      </c>
      <c r="H754" s="10"/>
      <c r="I754" s="10"/>
      <c r="J754" s="10"/>
      <c r="K754" s="10"/>
      <c r="L754" s="10"/>
      <c r="M754" s="10"/>
      <c r="N754" s="10"/>
      <c r="O754" s="10"/>
      <c r="P754" s="10"/>
      <c r="Q754" s="10" t="str">
        <f>"254.86"</f>
        <v>254.86</v>
      </c>
      <c r="R754" s="10" t="str">
        <f>"325.25"</f>
        <v>325.25</v>
      </c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  <c r="AL754" s="10"/>
      <c r="AM754" s="10"/>
      <c r="AN754" s="10"/>
      <c r="AO754" s="10"/>
    </row>
    <row r="755" spans="1:41">
      <c r="A755" s="8">
        <v>753</v>
      </c>
      <c r="B755" s="8">
        <v>77</v>
      </c>
      <c r="C755" s="8" t="s">
        <v>941</v>
      </c>
      <c r="D755" s="8" t="s">
        <v>88</v>
      </c>
      <c r="E755" s="2" t="str">
        <f>"290.06"</f>
        <v>290.06</v>
      </c>
      <c r="F755" s="9"/>
      <c r="G755" s="9">
        <v>2017</v>
      </c>
      <c r="H755" s="10" t="str">
        <f>"289.25"</f>
        <v>289.25</v>
      </c>
      <c r="I755" s="10"/>
      <c r="J755" s="10"/>
      <c r="K755" s="10"/>
      <c r="L755" s="10"/>
      <c r="M755" s="10"/>
      <c r="N755" s="10" t="str">
        <f>"361.78"</f>
        <v>361.78</v>
      </c>
      <c r="O755" s="10"/>
      <c r="P755" s="10" t="str">
        <f>"290.25"</f>
        <v>290.25</v>
      </c>
      <c r="Q755" s="10"/>
      <c r="R755" s="10"/>
      <c r="S755" s="10"/>
      <c r="T755" s="10" t="str">
        <f>"289.87"</f>
        <v>289.87</v>
      </c>
      <c r="U755" s="10"/>
      <c r="V755" s="10"/>
      <c r="W755" s="10"/>
      <c r="X755" s="10"/>
      <c r="Y755" s="10"/>
      <c r="Z755" s="10"/>
      <c r="AA755" s="10" t="str">
        <f>"296.70"</f>
        <v>296.70</v>
      </c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  <c r="AM755" s="10"/>
      <c r="AN755" s="10"/>
      <c r="AO755" s="10"/>
    </row>
    <row r="756" spans="1:41">
      <c r="A756" s="8">
        <v>754</v>
      </c>
      <c r="B756" s="8">
        <v>6471</v>
      </c>
      <c r="C756" s="8" t="s">
        <v>942</v>
      </c>
      <c r="D756" s="8" t="s">
        <v>99</v>
      </c>
      <c r="E756" s="2" t="str">
        <f>"290.10"</f>
        <v>290.10</v>
      </c>
      <c r="F756" s="9" t="s">
        <v>11</v>
      </c>
      <c r="G756" s="9">
        <v>2017</v>
      </c>
      <c r="H756" s="10" t="str">
        <f>"250.10"</f>
        <v>250.10</v>
      </c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  <c r="AL756" s="10"/>
      <c r="AM756" s="10"/>
      <c r="AN756" s="10"/>
      <c r="AO756" s="10"/>
    </row>
    <row r="757" spans="1:41">
      <c r="A757" s="8">
        <v>755</v>
      </c>
      <c r="B757" s="8">
        <v>10298</v>
      </c>
      <c r="C757" s="8" t="s">
        <v>943</v>
      </c>
      <c r="D757" s="8" t="s">
        <v>25</v>
      </c>
      <c r="E757" s="2" t="str">
        <f>"290.16"</f>
        <v>290.16</v>
      </c>
      <c r="F757" s="9" t="s">
        <v>11</v>
      </c>
      <c r="G757" s="9">
        <v>2017</v>
      </c>
      <c r="H757" s="10" t="str">
        <f>"250.16"</f>
        <v>250.16</v>
      </c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  <c r="AL757" s="10"/>
      <c r="AM757" s="10"/>
      <c r="AN757" s="10"/>
      <c r="AO757" s="10"/>
    </row>
    <row r="758" spans="1:41">
      <c r="A758" s="8">
        <v>756</v>
      </c>
      <c r="B758" s="8">
        <v>6457</v>
      </c>
      <c r="C758" s="8" t="s">
        <v>944</v>
      </c>
      <c r="D758" s="8" t="s">
        <v>97</v>
      </c>
      <c r="E758" s="2" t="str">
        <f>"290.23"</f>
        <v>290.23</v>
      </c>
      <c r="F758" s="9"/>
      <c r="G758" s="9">
        <v>2017</v>
      </c>
      <c r="H758" s="10" t="str">
        <f>"393.93"</f>
        <v>393.93</v>
      </c>
      <c r="I758" s="10"/>
      <c r="J758" s="10"/>
      <c r="K758" s="10"/>
      <c r="L758" s="10"/>
      <c r="M758" s="10" t="str">
        <f>"316.78"</f>
        <v>316.78</v>
      </c>
      <c r="N758" s="10"/>
      <c r="O758" s="10" t="str">
        <f>"263.68"</f>
        <v>263.68</v>
      </c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0"/>
      <c r="AL758" s="10"/>
      <c r="AM758" s="10"/>
      <c r="AN758" s="10"/>
      <c r="AO758" s="10"/>
    </row>
    <row r="759" spans="1:41">
      <c r="A759" s="8">
        <v>757</v>
      </c>
      <c r="B759" s="8">
        <v>3418</v>
      </c>
      <c r="C759" s="8" t="s">
        <v>945</v>
      </c>
      <c r="D759" s="8" t="s">
        <v>42</v>
      </c>
      <c r="E759" s="2" t="str">
        <f>"291.04"</f>
        <v>291.04</v>
      </c>
      <c r="F759" s="9" t="s">
        <v>11</v>
      </c>
      <c r="G759" s="9">
        <v>2017</v>
      </c>
      <c r="H759" s="10" t="str">
        <f>"251.04"</f>
        <v>251.04</v>
      </c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  <c r="AM759" s="10"/>
      <c r="AN759" s="10"/>
      <c r="AO759" s="10"/>
    </row>
    <row r="760" spans="1:41">
      <c r="A760" s="8">
        <v>758</v>
      </c>
      <c r="B760" s="8">
        <v>10292</v>
      </c>
      <c r="C760" s="8" t="s">
        <v>946</v>
      </c>
      <c r="D760" s="8" t="s">
        <v>12</v>
      </c>
      <c r="E760" s="2" t="str">
        <f>"291.40"</f>
        <v>291.40</v>
      </c>
      <c r="F760" s="9"/>
      <c r="G760" s="9">
        <v>2017</v>
      </c>
      <c r="H760" s="10" t="str">
        <f>"244.50"</f>
        <v>244.50</v>
      </c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 t="str">
        <f>"320.28"</f>
        <v>320.28</v>
      </c>
      <c r="V760" s="10"/>
      <c r="W760" s="10"/>
      <c r="X760" s="10" t="str">
        <f>"262.52"</f>
        <v>262.52</v>
      </c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  <c r="AL760" s="10"/>
      <c r="AM760" s="10"/>
      <c r="AN760" s="10"/>
      <c r="AO760" s="10"/>
    </row>
    <row r="761" spans="1:41">
      <c r="A761" s="8">
        <v>759</v>
      </c>
      <c r="B761" s="8">
        <v>6657</v>
      </c>
      <c r="C761" s="8" t="s">
        <v>947</v>
      </c>
      <c r="D761" s="8" t="s">
        <v>20</v>
      </c>
      <c r="E761" s="2" t="str">
        <f>"291.55"</f>
        <v>291.55</v>
      </c>
      <c r="F761" s="9" t="s">
        <v>11</v>
      </c>
      <c r="G761" s="9">
        <v>2017</v>
      </c>
      <c r="H761" s="10" t="str">
        <f>"251.55"</f>
        <v>251.55</v>
      </c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  <c r="AL761" s="10"/>
      <c r="AM761" s="10"/>
      <c r="AN761" s="10"/>
      <c r="AO761" s="10"/>
    </row>
    <row r="762" spans="1:41">
      <c r="A762" s="8">
        <v>760</v>
      </c>
      <c r="B762" s="8">
        <v>11129</v>
      </c>
      <c r="C762" s="8" t="s">
        <v>948</v>
      </c>
      <c r="D762" s="8" t="s">
        <v>19</v>
      </c>
      <c r="E762" s="2" t="str">
        <f>"292.05"</f>
        <v>292.05</v>
      </c>
      <c r="F762" s="9"/>
      <c r="G762" s="9">
        <v>2017</v>
      </c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 t="str">
        <f>"275.65"</f>
        <v>275.65</v>
      </c>
      <c r="AJ762" s="10"/>
      <c r="AK762" s="10"/>
      <c r="AL762" s="10"/>
      <c r="AM762" s="10" t="str">
        <f>"308.44"</f>
        <v>308.44</v>
      </c>
      <c r="AN762" s="10"/>
      <c r="AO762" s="10"/>
    </row>
    <row r="763" spans="1:41">
      <c r="A763" s="8">
        <v>761</v>
      </c>
      <c r="B763" s="8">
        <v>1278</v>
      </c>
      <c r="C763" s="8" t="s">
        <v>949</v>
      </c>
      <c r="D763" s="8" t="s">
        <v>32</v>
      </c>
      <c r="E763" s="2" t="str">
        <f>"292.56"</f>
        <v>292.56</v>
      </c>
      <c r="F763" s="9"/>
      <c r="G763" s="9">
        <v>2017</v>
      </c>
      <c r="H763" s="10" t="str">
        <f>"255.78"</f>
        <v>255.78</v>
      </c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 t="str">
        <f>"283.22"</f>
        <v>283.22</v>
      </c>
      <c r="U763" s="10"/>
      <c r="V763" s="10"/>
      <c r="W763" s="10"/>
      <c r="X763" s="10"/>
      <c r="Y763" s="10"/>
      <c r="Z763" s="10"/>
      <c r="AA763" s="10" t="str">
        <f>"301.89"</f>
        <v>301.89</v>
      </c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  <c r="AM763" s="10"/>
      <c r="AN763" s="10"/>
      <c r="AO763" s="10"/>
    </row>
    <row r="764" spans="1:41">
      <c r="A764" s="8">
        <v>762</v>
      </c>
      <c r="B764" s="8">
        <v>11118</v>
      </c>
      <c r="C764" s="8" t="s">
        <v>950</v>
      </c>
      <c r="D764" s="8" t="s">
        <v>82</v>
      </c>
      <c r="E764" s="2" t="str">
        <f>"292.92"</f>
        <v>292.92</v>
      </c>
      <c r="F764" s="9"/>
      <c r="G764" s="9">
        <v>2017</v>
      </c>
      <c r="H764" s="10"/>
      <c r="I764" s="10"/>
      <c r="J764" s="10"/>
      <c r="K764" s="10"/>
      <c r="L764" s="10"/>
      <c r="M764" s="10"/>
      <c r="N764" s="10"/>
      <c r="O764" s="10" t="str">
        <f>"320.63"</f>
        <v>320.63</v>
      </c>
      <c r="P764" s="10"/>
      <c r="Q764" s="10"/>
      <c r="R764" s="10"/>
      <c r="S764" s="10" t="str">
        <f>"357.46"</f>
        <v>357.46</v>
      </c>
      <c r="T764" s="10"/>
      <c r="U764" s="10"/>
      <c r="V764" s="10"/>
      <c r="W764" s="10"/>
      <c r="X764" s="10"/>
      <c r="Y764" s="10"/>
      <c r="Z764" s="10" t="str">
        <f>"265.21"</f>
        <v>265.21</v>
      </c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  <c r="AL764" s="10"/>
      <c r="AM764" s="10"/>
      <c r="AN764" s="10"/>
      <c r="AO764" s="10"/>
    </row>
    <row r="765" spans="1:41">
      <c r="A765" s="8">
        <v>763</v>
      </c>
      <c r="B765" s="8">
        <v>4253</v>
      </c>
      <c r="C765" s="8" t="s">
        <v>951</v>
      </c>
      <c r="D765" s="8" t="s">
        <v>99</v>
      </c>
      <c r="E765" s="2" t="str">
        <f>"293.04"</f>
        <v>293.04</v>
      </c>
      <c r="F765" s="9" t="s">
        <v>11</v>
      </c>
      <c r="G765" s="9">
        <v>2017</v>
      </c>
      <c r="H765" s="10" t="str">
        <f>"253.04"</f>
        <v>253.04</v>
      </c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0"/>
      <c r="AL765" s="10"/>
      <c r="AM765" s="10"/>
      <c r="AN765" s="10"/>
      <c r="AO765" s="10"/>
    </row>
    <row r="766" spans="1:41">
      <c r="A766" s="8">
        <v>764</v>
      </c>
      <c r="B766" s="8">
        <v>7124</v>
      </c>
      <c r="C766" s="8" t="s">
        <v>952</v>
      </c>
      <c r="D766" s="8" t="s">
        <v>331</v>
      </c>
      <c r="E766" s="2" t="str">
        <f>"293.58"</f>
        <v>293.58</v>
      </c>
      <c r="F766" s="9" t="s">
        <v>11</v>
      </c>
      <c r="G766" s="9">
        <v>2017</v>
      </c>
      <c r="H766" s="10" t="str">
        <f>"253.58"</f>
        <v>253.58</v>
      </c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  <c r="AL766" s="10"/>
      <c r="AM766" s="10"/>
      <c r="AN766" s="10"/>
      <c r="AO766" s="10"/>
    </row>
    <row r="767" spans="1:41">
      <c r="A767" s="8">
        <v>765</v>
      </c>
      <c r="B767" s="8">
        <v>7783</v>
      </c>
      <c r="C767" s="8" t="s">
        <v>953</v>
      </c>
      <c r="D767" s="8" t="s">
        <v>30</v>
      </c>
      <c r="E767" s="2" t="str">
        <f>"294.41"</f>
        <v>294.41</v>
      </c>
      <c r="F767" s="9" t="s">
        <v>11</v>
      </c>
      <c r="G767" s="9">
        <v>2017</v>
      </c>
      <c r="H767" s="10" t="str">
        <f>"254.41"</f>
        <v>254.41</v>
      </c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  <c r="AM767" s="10"/>
      <c r="AN767" s="10"/>
      <c r="AO767" s="10"/>
    </row>
    <row r="768" spans="1:41">
      <c r="A768" s="8">
        <v>766</v>
      </c>
      <c r="B768" s="8">
        <v>11130</v>
      </c>
      <c r="C768" s="8" t="s">
        <v>954</v>
      </c>
      <c r="D768" s="8" t="s">
        <v>19</v>
      </c>
      <c r="E768" s="2" t="str">
        <f>"294.43"</f>
        <v>294.43</v>
      </c>
      <c r="F768" s="9"/>
      <c r="G768" s="9">
        <v>2017</v>
      </c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 t="str">
        <f>"342.04"</f>
        <v>342.04</v>
      </c>
      <c r="AC768" s="10" t="str">
        <f>"246.81"</f>
        <v>246.81</v>
      </c>
      <c r="AD768" s="10"/>
      <c r="AE768" s="10"/>
      <c r="AF768" s="10"/>
      <c r="AG768" s="10"/>
      <c r="AH768" s="10"/>
      <c r="AI768" s="10"/>
      <c r="AJ768" s="10"/>
      <c r="AK768" s="10"/>
      <c r="AL768" s="10"/>
      <c r="AM768" s="10"/>
      <c r="AN768" s="10"/>
      <c r="AO768" s="10"/>
    </row>
    <row r="769" spans="1:41">
      <c r="A769" s="8">
        <v>767</v>
      </c>
      <c r="B769" s="8">
        <v>6556</v>
      </c>
      <c r="C769" s="8" t="s">
        <v>955</v>
      </c>
      <c r="D769" s="8" t="s">
        <v>180</v>
      </c>
      <c r="E769" s="2" t="str">
        <f>"294.93"</f>
        <v>294.93</v>
      </c>
      <c r="F769" s="9" t="s">
        <v>9</v>
      </c>
      <c r="G769" s="9">
        <v>2017</v>
      </c>
      <c r="H769" s="10" t="str">
        <f>"258.49"</f>
        <v>258.49</v>
      </c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 t="str">
        <f>"254.93"</f>
        <v>254.93</v>
      </c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  <c r="AM769" s="10"/>
      <c r="AN769" s="10"/>
      <c r="AO769" s="10"/>
    </row>
    <row r="770" spans="1:41">
      <c r="A770" s="8">
        <v>768</v>
      </c>
      <c r="B770" s="8">
        <v>10600</v>
      </c>
      <c r="C770" s="8" t="s">
        <v>956</v>
      </c>
      <c r="D770" s="8" t="s">
        <v>10</v>
      </c>
      <c r="E770" s="2" t="str">
        <f>"294.99"</f>
        <v>294.99</v>
      </c>
      <c r="F770" s="9"/>
      <c r="G770" s="9">
        <v>2017</v>
      </c>
      <c r="H770" s="10" t="str">
        <f>"330.92"</f>
        <v>330.92</v>
      </c>
      <c r="I770" s="10"/>
      <c r="J770" s="10"/>
      <c r="K770" s="10"/>
      <c r="L770" s="10"/>
      <c r="M770" s="10"/>
      <c r="N770" s="10"/>
      <c r="O770" s="10"/>
      <c r="P770" s="10"/>
      <c r="Q770" s="10" t="str">
        <f>"350.04"</f>
        <v>350.04</v>
      </c>
      <c r="R770" s="10" t="str">
        <f>"433.16"</f>
        <v>433.16</v>
      </c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 t="str">
        <f>"284.20"</f>
        <v>284.20</v>
      </c>
      <c r="AF770" s="10" t="str">
        <f>"305.78"</f>
        <v>305.78</v>
      </c>
      <c r="AG770" s="10"/>
      <c r="AH770" s="10"/>
      <c r="AI770" s="10"/>
      <c r="AJ770" s="10"/>
      <c r="AK770" s="10"/>
      <c r="AL770" s="10"/>
      <c r="AM770" s="10"/>
      <c r="AN770" s="10"/>
      <c r="AO770" s="10"/>
    </row>
    <row r="771" spans="1:41">
      <c r="A771" s="8">
        <v>769</v>
      </c>
      <c r="B771" s="8">
        <v>3093</v>
      </c>
      <c r="C771" s="8" t="s">
        <v>957</v>
      </c>
      <c r="D771" s="8" t="s">
        <v>69</v>
      </c>
      <c r="E771" s="2" t="str">
        <f>"295.43"</f>
        <v>295.43</v>
      </c>
      <c r="F771" s="9" t="s">
        <v>11</v>
      </c>
      <c r="G771" s="9">
        <v>2017</v>
      </c>
      <c r="H771" s="10" t="str">
        <f>"255.43"</f>
        <v>255.43</v>
      </c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  <c r="AL771" s="10"/>
      <c r="AM771" s="10"/>
      <c r="AN771" s="10"/>
      <c r="AO771" s="10"/>
    </row>
    <row r="772" spans="1:41">
      <c r="A772" s="8">
        <v>770</v>
      </c>
      <c r="B772" s="8">
        <v>5356</v>
      </c>
      <c r="C772" s="8" t="s">
        <v>958</v>
      </c>
      <c r="D772" s="8" t="s">
        <v>57</v>
      </c>
      <c r="E772" s="2" t="str">
        <f>"295.84"</f>
        <v>295.84</v>
      </c>
      <c r="F772" s="9" t="s">
        <v>11</v>
      </c>
      <c r="G772" s="9">
        <v>2017</v>
      </c>
      <c r="H772" s="10" t="str">
        <f>"255.84"</f>
        <v>255.84</v>
      </c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  <c r="AL772" s="10"/>
      <c r="AM772" s="10"/>
      <c r="AN772" s="10"/>
      <c r="AO772" s="10"/>
    </row>
    <row r="773" spans="1:41">
      <c r="A773" s="8">
        <v>771</v>
      </c>
      <c r="B773" s="8">
        <v>4000</v>
      </c>
      <c r="C773" s="8" t="s">
        <v>959</v>
      </c>
      <c r="D773" s="8" t="s">
        <v>81</v>
      </c>
      <c r="E773" s="2" t="str">
        <f>"296.21"</f>
        <v>296.21</v>
      </c>
      <c r="F773" s="9" t="s">
        <v>11</v>
      </c>
      <c r="G773" s="9">
        <v>2017</v>
      </c>
      <c r="H773" s="10" t="str">
        <f>"256.21"</f>
        <v>256.21</v>
      </c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  <c r="AM773" s="10"/>
      <c r="AN773" s="10"/>
      <c r="AO773" s="10"/>
    </row>
    <row r="774" spans="1:41">
      <c r="A774" s="8">
        <v>772</v>
      </c>
      <c r="B774" s="8">
        <v>1266</v>
      </c>
      <c r="C774" s="8" t="s">
        <v>960</v>
      </c>
      <c r="D774" s="8" t="s">
        <v>98</v>
      </c>
      <c r="E774" s="2" t="str">
        <f>"296.97"</f>
        <v>296.97</v>
      </c>
      <c r="F774" s="9"/>
      <c r="G774" s="9">
        <v>2017</v>
      </c>
      <c r="H774" s="10" t="str">
        <f>"298.98"</f>
        <v>298.98</v>
      </c>
      <c r="I774" s="10"/>
      <c r="J774" s="10"/>
      <c r="K774" s="10"/>
      <c r="L774" s="10"/>
      <c r="M774" s="10"/>
      <c r="N774" s="10" t="str">
        <f>"319.38"</f>
        <v>319.38</v>
      </c>
      <c r="O774" s="10"/>
      <c r="P774" s="10" t="str">
        <f>"306.32"</f>
        <v>306.32</v>
      </c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 t="str">
        <f>"287.62"</f>
        <v>287.62</v>
      </c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  <c r="AL774" s="10"/>
      <c r="AM774" s="10"/>
      <c r="AN774" s="10"/>
      <c r="AO774" s="10"/>
    </row>
    <row r="775" spans="1:41">
      <c r="A775" s="8">
        <v>773</v>
      </c>
      <c r="B775" s="8">
        <v>10891</v>
      </c>
      <c r="C775" s="8" t="s">
        <v>961</v>
      </c>
      <c r="D775" s="8" t="s">
        <v>10</v>
      </c>
      <c r="E775" s="2" t="str">
        <f>"297.00"</f>
        <v>297.00</v>
      </c>
      <c r="F775" s="9"/>
      <c r="G775" s="9">
        <v>2017</v>
      </c>
      <c r="H775" s="10" t="str">
        <f>"640.08"</f>
        <v>640.08</v>
      </c>
      <c r="I775" s="10"/>
      <c r="J775" s="10"/>
      <c r="K775" s="10"/>
      <c r="L775" s="10"/>
      <c r="M775" s="10"/>
      <c r="N775" s="10"/>
      <c r="O775" s="10"/>
      <c r="P775" s="10"/>
      <c r="Q775" s="10" t="str">
        <f>"442.35"</f>
        <v>442.35</v>
      </c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 t="str">
        <f>"305.60"</f>
        <v>305.60</v>
      </c>
      <c r="AF775" s="10" t="str">
        <f>"353.22"</f>
        <v>353.22</v>
      </c>
      <c r="AG775" s="10"/>
      <c r="AH775" s="10"/>
      <c r="AI775" s="10"/>
      <c r="AJ775" s="10"/>
      <c r="AK775" s="10"/>
      <c r="AL775" s="10"/>
      <c r="AM775" s="10"/>
      <c r="AN775" s="10" t="str">
        <f>"288.39"</f>
        <v>288.39</v>
      </c>
      <c r="AO775" s="10"/>
    </row>
    <row r="776" spans="1:41">
      <c r="A776" s="8">
        <v>774</v>
      </c>
      <c r="B776" s="8">
        <v>7584</v>
      </c>
      <c r="C776" s="8" t="s">
        <v>962</v>
      </c>
      <c r="D776" s="8" t="s">
        <v>778</v>
      </c>
      <c r="E776" s="2" t="str">
        <f>"297.37"</f>
        <v>297.37</v>
      </c>
      <c r="F776" s="9" t="s">
        <v>9</v>
      </c>
      <c r="G776" s="9">
        <v>2017</v>
      </c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 t="str">
        <f>"257.37"</f>
        <v>257.37</v>
      </c>
      <c r="AB776" s="10"/>
      <c r="AC776" s="10"/>
      <c r="AD776" s="10"/>
      <c r="AE776" s="10"/>
      <c r="AF776" s="10"/>
      <c r="AG776" s="10"/>
      <c r="AH776" s="10"/>
      <c r="AI776" s="10"/>
      <c r="AJ776" s="10"/>
      <c r="AK776" s="10"/>
      <c r="AL776" s="10"/>
      <c r="AM776" s="10"/>
      <c r="AN776" s="10"/>
      <c r="AO776" s="10"/>
    </row>
    <row r="777" spans="1:41">
      <c r="A777" s="8">
        <v>775</v>
      </c>
      <c r="B777" s="8">
        <v>10773</v>
      </c>
      <c r="C777" s="8" t="s">
        <v>963</v>
      </c>
      <c r="D777" s="8" t="s">
        <v>19</v>
      </c>
      <c r="E777" s="2" t="str">
        <f>"297.99"</f>
        <v>297.99</v>
      </c>
      <c r="F777" s="9"/>
      <c r="G777" s="9">
        <v>2017</v>
      </c>
      <c r="H777" s="10" t="str">
        <f>"467.10"</f>
        <v>467.10</v>
      </c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 t="str">
        <f>"300.83"</f>
        <v>300.83</v>
      </c>
      <c r="AC777" s="10"/>
      <c r="AD777" s="10"/>
      <c r="AE777" s="10"/>
      <c r="AF777" s="10"/>
      <c r="AG777" s="10"/>
      <c r="AH777" s="10"/>
      <c r="AI777" s="10"/>
      <c r="AJ777" s="10"/>
      <c r="AK777" s="10"/>
      <c r="AL777" s="10"/>
      <c r="AM777" s="10" t="str">
        <f>"295.14"</f>
        <v>295.14</v>
      </c>
      <c r="AN777" s="10"/>
      <c r="AO777" s="10"/>
    </row>
    <row r="778" spans="1:41">
      <c r="A778" s="8">
        <v>776</v>
      </c>
      <c r="B778" s="8">
        <v>6476</v>
      </c>
      <c r="C778" s="8" t="s">
        <v>964</v>
      </c>
      <c r="D778" s="8" t="s">
        <v>27</v>
      </c>
      <c r="E778" s="2" t="str">
        <f>"298.07"</f>
        <v>298.07</v>
      </c>
      <c r="F778" s="9"/>
      <c r="G778" s="9">
        <v>2017</v>
      </c>
      <c r="H778" s="10" t="str">
        <f>"231.19"</f>
        <v>231.19</v>
      </c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 t="str">
        <f>"319.83"</f>
        <v>319.83</v>
      </c>
      <c r="U778" s="10"/>
      <c r="V778" s="10"/>
      <c r="W778" s="10"/>
      <c r="X778" s="10"/>
      <c r="Y778" s="10"/>
      <c r="Z778" s="10" t="str">
        <f>"349.05"</f>
        <v>349.05</v>
      </c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  <c r="AL778" s="10" t="str">
        <f>"276.31"</f>
        <v>276.31</v>
      </c>
      <c r="AM778" s="10"/>
      <c r="AN778" s="10"/>
      <c r="AO778" s="10"/>
    </row>
    <row r="779" spans="1:41">
      <c r="A779" s="8">
        <v>777</v>
      </c>
      <c r="B779" s="8">
        <v>6979</v>
      </c>
      <c r="C779" s="8" t="s">
        <v>965</v>
      </c>
      <c r="D779" s="8" t="s">
        <v>422</v>
      </c>
      <c r="E779" s="2" t="str">
        <f>"298.24"</f>
        <v>298.24</v>
      </c>
      <c r="F779" s="9"/>
      <c r="G779" s="9">
        <v>2017</v>
      </c>
      <c r="H779" s="10" t="str">
        <f>"260.23"</f>
        <v>260.23</v>
      </c>
      <c r="I779" s="10"/>
      <c r="J779" s="10"/>
      <c r="K779" s="10"/>
      <c r="L779" s="10"/>
      <c r="M779" s="10"/>
      <c r="N779" s="10" t="str">
        <f>"321.85"</f>
        <v>321.85</v>
      </c>
      <c r="O779" s="10"/>
      <c r="P779" s="10" t="str">
        <f>"274.63"</f>
        <v>274.63</v>
      </c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  <c r="AM779" s="10"/>
      <c r="AN779" s="10"/>
      <c r="AO779" s="10"/>
    </row>
    <row r="780" spans="1:41">
      <c r="A780" s="8">
        <v>778</v>
      </c>
      <c r="B780" s="8">
        <v>10850</v>
      </c>
      <c r="C780" s="8" t="s">
        <v>966</v>
      </c>
      <c r="D780" s="8" t="s">
        <v>10</v>
      </c>
      <c r="E780" s="2" t="str">
        <f>"298.91"</f>
        <v>298.91</v>
      </c>
      <c r="F780" s="9"/>
      <c r="G780" s="9">
        <v>2017</v>
      </c>
      <c r="H780" s="10" t="str">
        <f>"537.33"</f>
        <v>537.33</v>
      </c>
      <c r="I780" s="10"/>
      <c r="J780" s="10"/>
      <c r="K780" s="10"/>
      <c r="L780" s="10"/>
      <c r="M780" s="10"/>
      <c r="N780" s="10"/>
      <c r="O780" s="10"/>
      <c r="P780" s="10"/>
      <c r="Q780" s="10" t="str">
        <f>"447.94"</f>
        <v>447.94</v>
      </c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 t="str">
        <f>"283.49"</f>
        <v>283.49</v>
      </c>
      <c r="AF780" s="10" t="str">
        <f>"358.15"</f>
        <v>358.15</v>
      </c>
      <c r="AG780" s="10"/>
      <c r="AH780" s="10"/>
      <c r="AI780" s="10"/>
      <c r="AJ780" s="10"/>
      <c r="AK780" s="10"/>
      <c r="AL780" s="10"/>
      <c r="AM780" s="10"/>
      <c r="AN780" s="10" t="str">
        <f>"314.33"</f>
        <v>314.33</v>
      </c>
      <c r="AO780" s="10"/>
    </row>
    <row r="781" spans="1:41">
      <c r="A781" s="8">
        <v>779</v>
      </c>
      <c r="B781" s="8">
        <v>10900</v>
      </c>
      <c r="C781" s="8" t="s">
        <v>967</v>
      </c>
      <c r="D781" s="8" t="s">
        <v>10</v>
      </c>
      <c r="E781" s="2" t="str">
        <f>"299.94"</f>
        <v>299.94</v>
      </c>
      <c r="F781" s="9"/>
      <c r="G781" s="9">
        <v>2017</v>
      </c>
      <c r="H781" s="10" t="str">
        <f>"316.69"</f>
        <v>316.69</v>
      </c>
      <c r="I781" s="10"/>
      <c r="J781" s="10"/>
      <c r="K781" s="10"/>
      <c r="L781" s="10"/>
      <c r="M781" s="10"/>
      <c r="N781" s="10"/>
      <c r="O781" s="10"/>
      <c r="P781" s="10"/>
      <c r="Q781" s="10" t="str">
        <f>"308.04"</f>
        <v>308.04</v>
      </c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 t="str">
        <f>"357.72"</f>
        <v>357.72</v>
      </c>
      <c r="AJ781" s="10"/>
      <c r="AK781" s="10"/>
      <c r="AL781" s="10"/>
      <c r="AM781" s="10"/>
      <c r="AN781" s="10" t="str">
        <f>"291.84"</f>
        <v>291.84</v>
      </c>
      <c r="AO781" s="10"/>
    </row>
    <row r="782" spans="1:41">
      <c r="A782" s="8">
        <v>780</v>
      </c>
      <c r="B782" s="8">
        <v>10419</v>
      </c>
      <c r="C782" s="8" t="s">
        <v>968</v>
      </c>
      <c r="D782" s="8" t="s">
        <v>19</v>
      </c>
      <c r="E782" s="2" t="str">
        <f>"299.99"</f>
        <v>299.99</v>
      </c>
      <c r="F782" s="9" t="s">
        <v>9</v>
      </c>
      <c r="G782" s="9">
        <v>2017</v>
      </c>
      <c r="H782" s="10" t="str">
        <f>"354.83"</f>
        <v>354.83</v>
      </c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 t="str">
        <f>"259.99"</f>
        <v>259.99</v>
      </c>
      <c r="AC782" s="10"/>
      <c r="AD782" s="10"/>
      <c r="AE782" s="10"/>
      <c r="AF782" s="10"/>
      <c r="AG782" s="10"/>
      <c r="AH782" s="10"/>
      <c r="AI782" s="10"/>
      <c r="AJ782" s="10"/>
      <c r="AK782" s="10"/>
      <c r="AL782" s="10"/>
      <c r="AM782" s="10"/>
      <c r="AN782" s="10"/>
      <c r="AO782" s="10"/>
    </row>
    <row r="783" spans="1:41">
      <c r="A783" s="8">
        <v>781</v>
      </c>
      <c r="B783" s="8">
        <v>3370</v>
      </c>
      <c r="C783" s="8" t="s">
        <v>969</v>
      </c>
      <c r="D783" s="8" t="s">
        <v>49</v>
      </c>
      <c r="E783" s="2" t="str">
        <f>"300.22"</f>
        <v>300.22</v>
      </c>
      <c r="F783" s="9" t="s">
        <v>11</v>
      </c>
      <c r="G783" s="9">
        <v>2017</v>
      </c>
      <c r="H783" s="10" t="str">
        <f>"260.22"</f>
        <v>260.22</v>
      </c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  <c r="AL783" s="10"/>
      <c r="AM783" s="10"/>
      <c r="AN783" s="10"/>
      <c r="AO783" s="10"/>
    </row>
    <row r="784" spans="1:41">
      <c r="A784" s="8">
        <v>782</v>
      </c>
      <c r="B784" s="8">
        <v>11204</v>
      </c>
      <c r="C784" s="8" t="s">
        <v>970</v>
      </c>
      <c r="D784" s="8" t="s">
        <v>19</v>
      </c>
      <c r="E784" s="2" t="str">
        <f>"301.06"</f>
        <v>301.06</v>
      </c>
      <c r="F784" s="9" t="s">
        <v>9</v>
      </c>
      <c r="G784" s="9">
        <v>2017</v>
      </c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  <c r="AL784" s="10"/>
      <c r="AM784" s="10" t="str">
        <f>"261.06"</f>
        <v>261.06</v>
      </c>
      <c r="AN784" s="10"/>
      <c r="AO784" s="10"/>
    </row>
    <row r="785" spans="1:41">
      <c r="A785" s="8">
        <v>783</v>
      </c>
      <c r="B785" s="8">
        <v>11296</v>
      </c>
      <c r="C785" s="8" t="s">
        <v>971</v>
      </c>
      <c r="D785" s="8" t="s">
        <v>10</v>
      </c>
      <c r="E785" s="2" t="str">
        <f>"301.59"</f>
        <v>301.59</v>
      </c>
      <c r="F785" s="9"/>
      <c r="G785" s="9">
        <v>2017</v>
      </c>
      <c r="H785" s="10"/>
      <c r="I785" s="10"/>
      <c r="J785" s="10"/>
      <c r="K785" s="10"/>
      <c r="L785" s="10"/>
      <c r="M785" s="10"/>
      <c r="N785" s="10"/>
      <c r="O785" s="10"/>
      <c r="P785" s="10"/>
      <c r="Q785" s="10" t="str">
        <f>"600.53"</f>
        <v>600.53</v>
      </c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 t="str">
        <f>"298.10"</f>
        <v>298.10</v>
      </c>
      <c r="AF785" s="10" t="str">
        <f>"379.59"</f>
        <v>379.59</v>
      </c>
      <c r="AG785" s="10"/>
      <c r="AH785" s="10"/>
      <c r="AI785" s="10"/>
      <c r="AJ785" s="10"/>
      <c r="AK785" s="10"/>
      <c r="AL785" s="10"/>
      <c r="AM785" s="10"/>
      <c r="AN785" s="10" t="str">
        <f>"305.07"</f>
        <v>305.07</v>
      </c>
      <c r="AO785" s="10"/>
    </row>
    <row r="786" spans="1:41">
      <c r="A786" s="8">
        <v>784</v>
      </c>
      <c r="B786" s="8">
        <v>10389</v>
      </c>
      <c r="C786" s="8" t="s">
        <v>972</v>
      </c>
      <c r="D786" s="8" t="s">
        <v>19</v>
      </c>
      <c r="E786" s="2" t="str">
        <f>"301.63"</f>
        <v>301.63</v>
      </c>
      <c r="F786" s="9"/>
      <c r="G786" s="9">
        <v>2017</v>
      </c>
      <c r="H786" s="10" t="str">
        <f>"398.64"</f>
        <v>398.64</v>
      </c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 t="str">
        <f>"346.68"</f>
        <v>346.68</v>
      </c>
      <c r="AC786" s="10"/>
      <c r="AD786" s="10"/>
      <c r="AE786" s="10"/>
      <c r="AF786" s="10"/>
      <c r="AG786" s="10"/>
      <c r="AH786" s="10"/>
      <c r="AI786" s="10"/>
      <c r="AJ786" s="10"/>
      <c r="AK786" s="10"/>
      <c r="AL786" s="10"/>
      <c r="AM786" s="10" t="str">
        <f>"256.57"</f>
        <v>256.57</v>
      </c>
      <c r="AN786" s="10"/>
      <c r="AO786" s="10"/>
    </row>
    <row r="787" spans="1:41">
      <c r="A787" s="8">
        <v>785</v>
      </c>
      <c r="B787" s="8">
        <v>2668</v>
      </c>
      <c r="C787" s="8" t="s">
        <v>973</v>
      </c>
      <c r="D787" s="8" t="s">
        <v>186</v>
      </c>
      <c r="E787" s="2" t="str">
        <f>"301.84"</f>
        <v>301.84</v>
      </c>
      <c r="F787" s="9"/>
      <c r="G787" s="9">
        <v>2017</v>
      </c>
      <c r="H787" s="10" t="str">
        <f>"303.20"</f>
        <v>303.20</v>
      </c>
      <c r="I787" s="10"/>
      <c r="J787" s="10"/>
      <c r="K787" s="10"/>
      <c r="L787" s="10"/>
      <c r="M787" s="10" t="str">
        <f>"305.33"</f>
        <v>305.33</v>
      </c>
      <c r="N787" s="10"/>
      <c r="O787" s="10" t="str">
        <f>"307.26"</f>
        <v>307.26</v>
      </c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 t="str">
        <f>"359.16"</f>
        <v>359.16</v>
      </c>
      <c r="AD787" s="10" t="str">
        <f>"382.81"</f>
        <v>382.81</v>
      </c>
      <c r="AE787" s="10"/>
      <c r="AF787" s="10"/>
      <c r="AG787" s="10"/>
      <c r="AH787" s="10"/>
      <c r="AI787" s="10"/>
      <c r="AJ787" s="10" t="str">
        <f>"298.35"</f>
        <v>298.35</v>
      </c>
      <c r="AK787" s="10"/>
      <c r="AL787" s="10"/>
      <c r="AM787" s="10"/>
      <c r="AN787" s="10"/>
      <c r="AO787" s="10"/>
    </row>
    <row r="788" spans="1:41">
      <c r="A788" s="8">
        <v>786</v>
      </c>
      <c r="B788" s="8">
        <v>2832</v>
      </c>
      <c r="C788" s="8" t="s">
        <v>974</v>
      </c>
      <c r="D788" s="8" t="s">
        <v>336</v>
      </c>
      <c r="E788" s="2" t="str">
        <f>"302.72"</f>
        <v>302.72</v>
      </c>
      <c r="F788" s="9" t="s">
        <v>11</v>
      </c>
      <c r="G788" s="9">
        <v>2017</v>
      </c>
      <c r="H788" s="10" t="str">
        <f>"262.72"</f>
        <v>262.72</v>
      </c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  <c r="AL788" s="10"/>
      <c r="AM788" s="10"/>
      <c r="AN788" s="10"/>
      <c r="AO788" s="10"/>
    </row>
    <row r="789" spans="1:41">
      <c r="A789" s="8">
        <v>787</v>
      </c>
      <c r="B789" s="8">
        <v>10274</v>
      </c>
      <c r="C789" s="8" t="s">
        <v>975</v>
      </c>
      <c r="D789" s="8" t="s">
        <v>12</v>
      </c>
      <c r="E789" s="2" t="str">
        <f>"303.45"</f>
        <v>303.45</v>
      </c>
      <c r="F789" s="9"/>
      <c r="G789" s="9">
        <v>2017</v>
      </c>
      <c r="H789" s="10" t="str">
        <f>"359.22"</f>
        <v>359.22</v>
      </c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 t="str">
        <f>"324.17"</f>
        <v>324.17</v>
      </c>
      <c r="V789" s="10"/>
      <c r="W789" s="10"/>
      <c r="X789" s="10" t="str">
        <f>"282.73"</f>
        <v>282.73</v>
      </c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  <c r="AL789" s="10"/>
      <c r="AM789" s="10"/>
      <c r="AN789" s="10"/>
      <c r="AO789" s="10"/>
    </row>
    <row r="790" spans="1:41">
      <c r="A790" s="8">
        <v>788</v>
      </c>
      <c r="B790" s="8">
        <v>2174</v>
      </c>
      <c r="C790" s="8" t="s">
        <v>976</v>
      </c>
      <c r="D790" s="8" t="s">
        <v>10</v>
      </c>
      <c r="E790" s="2" t="str">
        <f>"303.86"</f>
        <v>303.86</v>
      </c>
      <c r="F790" s="9" t="s">
        <v>9</v>
      </c>
      <c r="G790" s="9">
        <v>2017</v>
      </c>
      <c r="H790" s="10" t="str">
        <f>"257.87"</f>
        <v>257.87</v>
      </c>
      <c r="I790" s="10"/>
      <c r="J790" s="10"/>
      <c r="K790" s="10"/>
      <c r="L790" s="10"/>
      <c r="M790" s="10"/>
      <c r="N790" s="10"/>
      <c r="O790" s="10"/>
      <c r="P790" s="10"/>
      <c r="Q790" s="10" t="str">
        <f>"263.86"</f>
        <v>263.86</v>
      </c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  <c r="AL790" s="10"/>
      <c r="AM790" s="10"/>
      <c r="AN790" s="10"/>
      <c r="AO790" s="10"/>
    </row>
    <row r="791" spans="1:41">
      <c r="A791" s="8">
        <v>789</v>
      </c>
      <c r="B791" s="8">
        <v>10764</v>
      </c>
      <c r="C791" s="8" t="s">
        <v>977</v>
      </c>
      <c r="D791" s="8" t="s">
        <v>19</v>
      </c>
      <c r="E791" s="2" t="str">
        <f>"303.87"</f>
        <v>303.87</v>
      </c>
      <c r="F791" s="9" t="s">
        <v>11</v>
      </c>
      <c r="G791" s="9">
        <v>2017</v>
      </c>
      <c r="H791" s="10" t="str">
        <f>"263.87"</f>
        <v>263.87</v>
      </c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  <c r="AL791" s="10"/>
      <c r="AM791" s="10"/>
      <c r="AN791" s="10"/>
      <c r="AO791" s="10"/>
    </row>
    <row r="792" spans="1:41">
      <c r="A792" s="8">
        <v>790</v>
      </c>
      <c r="B792" s="8">
        <v>11360</v>
      </c>
      <c r="C792" s="8" t="s">
        <v>978</v>
      </c>
      <c r="D792" s="8" t="s">
        <v>80</v>
      </c>
      <c r="E792" s="2" t="str">
        <f>"304.20"</f>
        <v>304.20</v>
      </c>
      <c r="F792" s="9" t="s">
        <v>9</v>
      </c>
      <c r="G792" s="9">
        <v>2017</v>
      </c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 t="str">
        <f>"264.20"</f>
        <v>264.20</v>
      </c>
      <c r="AD792" s="10"/>
      <c r="AE792" s="10"/>
      <c r="AF792" s="10"/>
      <c r="AG792" s="10"/>
      <c r="AH792" s="10"/>
      <c r="AI792" s="10"/>
      <c r="AJ792" s="10"/>
      <c r="AK792" s="10"/>
      <c r="AL792" s="10"/>
      <c r="AM792" s="10"/>
      <c r="AN792" s="10"/>
      <c r="AO792" s="10"/>
    </row>
    <row r="793" spans="1:41">
      <c r="A793" s="8">
        <v>791</v>
      </c>
      <c r="B793" s="8">
        <v>4152</v>
      </c>
      <c r="C793" s="8" t="s">
        <v>979</v>
      </c>
      <c r="D793" s="8" t="s">
        <v>99</v>
      </c>
      <c r="E793" s="2" t="str">
        <f>"304.66"</f>
        <v>304.66</v>
      </c>
      <c r="F793" s="9" t="s">
        <v>9</v>
      </c>
      <c r="G793" s="9">
        <v>2017</v>
      </c>
      <c r="H793" s="10" t="str">
        <f>"241.61"</f>
        <v>241.61</v>
      </c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 t="str">
        <f>"264.66"</f>
        <v>264.66</v>
      </c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  <c r="AL793" s="10"/>
      <c r="AM793" s="10"/>
      <c r="AN793" s="10"/>
      <c r="AO793" s="10"/>
    </row>
    <row r="794" spans="1:41">
      <c r="A794" s="8">
        <v>792</v>
      </c>
      <c r="B794" s="8">
        <v>5357</v>
      </c>
      <c r="C794" s="8" t="s">
        <v>980</v>
      </c>
      <c r="D794" s="8" t="s">
        <v>12</v>
      </c>
      <c r="E794" s="2" t="str">
        <f>"304.72"</f>
        <v>304.72</v>
      </c>
      <c r="F794" s="9" t="s">
        <v>11</v>
      </c>
      <c r="G794" s="9">
        <v>2017</v>
      </c>
      <c r="H794" s="10" t="str">
        <f>"264.72"</f>
        <v>264.72</v>
      </c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  <c r="AL794" s="10"/>
      <c r="AM794" s="10"/>
      <c r="AN794" s="10"/>
      <c r="AO794" s="10"/>
    </row>
    <row r="795" spans="1:41">
      <c r="A795" s="8">
        <v>793</v>
      </c>
      <c r="B795" s="8">
        <v>10538</v>
      </c>
      <c r="C795" s="8" t="s">
        <v>981</v>
      </c>
      <c r="D795" s="8" t="s">
        <v>10</v>
      </c>
      <c r="E795" s="2" t="str">
        <f>"305.37"</f>
        <v>305.37</v>
      </c>
      <c r="F795" s="9" t="s">
        <v>9</v>
      </c>
      <c r="G795" s="9">
        <v>2017</v>
      </c>
      <c r="H795" s="10" t="str">
        <f>"213.74"</f>
        <v>213.74</v>
      </c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 t="str">
        <f>"265.37"</f>
        <v>265.37</v>
      </c>
      <c r="AG795" s="10"/>
      <c r="AH795" s="10"/>
      <c r="AI795" s="10"/>
      <c r="AJ795" s="10"/>
      <c r="AK795" s="10"/>
      <c r="AL795" s="10"/>
      <c r="AM795" s="10"/>
      <c r="AN795" s="10"/>
      <c r="AO795" s="10"/>
    </row>
    <row r="796" spans="1:41">
      <c r="A796" s="8">
        <v>794</v>
      </c>
      <c r="B796" s="8">
        <v>10714</v>
      </c>
      <c r="C796" s="8" t="s">
        <v>982</v>
      </c>
      <c r="D796" s="8" t="s">
        <v>55</v>
      </c>
      <c r="E796" s="2" t="str">
        <f>"305.46"</f>
        <v>305.46</v>
      </c>
      <c r="F796" s="9" t="s">
        <v>11</v>
      </c>
      <c r="G796" s="9">
        <v>2017</v>
      </c>
      <c r="H796" s="10" t="str">
        <f>"265.46"</f>
        <v>265.46</v>
      </c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  <c r="AL796" s="10"/>
      <c r="AM796" s="10"/>
      <c r="AN796" s="10"/>
      <c r="AO796" s="10"/>
    </row>
    <row r="797" spans="1:41">
      <c r="A797" s="8">
        <v>795</v>
      </c>
      <c r="B797" s="8">
        <v>5430</v>
      </c>
      <c r="C797" s="8" t="s">
        <v>983</v>
      </c>
      <c r="D797" s="8" t="s">
        <v>36</v>
      </c>
      <c r="E797" s="2" t="str">
        <f>"305.83"</f>
        <v>305.83</v>
      </c>
      <c r="F797" s="9" t="s">
        <v>11</v>
      </c>
      <c r="G797" s="9">
        <v>2017</v>
      </c>
      <c r="H797" s="10" t="str">
        <f>"265.83"</f>
        <v>265.83</v>
      </c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  <c r="AL797" s="10"/>
      <c r="AM797" s="10"/>
      <c r="AN797" s="10"/>
      <c r="AO797" s="10"/>
    </row>
    <row r="798" spans="1:41">
      <c r="A798" s="8">
        <v>796</v>
      </c>
      <c r="B798" s="8">
        <v>5407</v>
      </c>
      <c r="C798" s="8" t="s">
        <v>984</v>
      </c>
      <c r="D798" s="8" t="s">
        <v>99</v>
      </c>
      <c r="E798" s="2" t="str">
        <f>"305.92"</f>
        <v>305.92</v>
      </c>
      <c r="F798" s="9" t="s">
        <v>11</v>
      </c>
      <c r="G798" s="9">
        <v>2017</v>
      </c>
      <c r="H798" s="10" t="str">
        <f>"265.92"</f>
        <v>265.92</v>
      </c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  <c r="AL798" s="10"/>
      <c r="AM798" s="10"/>
      <c r="AN798" s="10"/>
      <c r="AO798" s="10"/>
    </row>
    <row r="799" spans="1:41">
      <c r="A799" s="8">
        <v>797</v>
      </c>
      <c r="B799" s="8">
        <v>11233</v>
      </c>
      <c r="C799" s="8" t="s">
        <v>985</v>
      </c>
      <c r="D799" s="8" t="s">
        <v>24</v>
      </c>
      <c r="E799" s="2" t="str">
        <f>"306.06"</f>
        <v>306.06</v>
      </c>
      <c r="F799" s="9"/>
      <c r="G799" s="9">
        <v>2017</v>
      </c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 t="str">
        <f>"372.33"</f>
        <v>372.33</v>
      </c>
      <c r="V799" s="10"/>
      <c r="W799" s="10" t="str">
        <f>"239.78"</f>
        <v>239.78</v>
      </c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  <c r="AM799" s="10"/>
      <c r="AN799" s="10"/>
      <c r="AO799" s="10"/>
    </row>
    <row r="800" spans="1:41">
      <c r="A800" s="8">
        <v>798</v>
      </c>
      <c r="B800" s="8">
        <v>11214</v>
      </c>
      <c r="C800" s="8" t="s">
        <v>986</v>
      </c>
      <c r="D800" s="8" t="s">
        <v>19</v>
      </c>
      <c r="E800" s="2" t="str">
        <f>"306.97"</f>
        <v>306.97</v>
      </c>
      <c r="F800" s="9"/>
      <c r="G800" s="9">
        <v>2017</v>
      </c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 t="str">
        <f>"337.79"</f>
        <v>337.79</v>
      </c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 t="str">
        <f>"276.15"</f>
        <v>276.15</v>
      </c>
      <c r="AJ800" s="10"/>
      <c r="AK800" s="10"/>
      <c r="AL800" s="10"/>
      <c r="AM800" s="10"/>
      <c r="AN800" s="10"/>
      <c r="AO800" s="10"/>
    </row>
    <row r="801" spans="1:41">
      <c r="A801" s="8">
        <v>799</v>
      </c>
      <c r="B801" s="8">
        <v>6274</v>
      </c>
      <c r="C801" s="8" t="s">
        <v>987</v>
      </c>
      <c r="D801" s="8" t="s">
        <v>12</v>
      </c>
      <c r="E801" s="2" t="str">
        <f>"307.53"</f>
        <v>307.53</v>
      </c>
      <c r="F801" s="9" t="s">
        <v>11</v>
      </c>
      <c r="G801" s="9">
        <v>2017</v>
      </c>
      <c r="H801" s="10" t="str">
        <f>"267.53"</f>
        <v>267.53</v>
      </c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  <c r="AM801" s="10"/>
      <c r="AN801" s="10"/>
      <c r="AO801" s="10"/>
    </row>
    <row r="802" spans="1:41">
      <c r="A802" s="8">
        <v>800</v>
      </c>
      <c r="B802" s="8">
        <v>10888</v>
      </c>
      <c r="C802" s="8" t="s">
        <v>988</v>
      </c>
      <c r="D802" s="8" t="s">
        <v>10</v>
      </c>
      <c r="E802" s="2" t="str">
        <f>"307.69"</f>
        <v>307.69</v>
      </c>
      <c r="F802" s="9"/>
      <c r="G802" s="9">
        <v>2017</v>
      </c>
      <c r="H802" s="10" t="str">
        <f>"712.31"</f>
        <v>712.31</v>
      </c>
      <c r="I802" s="10"/>
      <c r="J802" s="10"/>
      <c r="K802" s="10"/>
      <c r="L802" s="10"/>
      <c r="M802" s="10"/>
      <c r="N802" s="10"/>
      <c r="O802" s="10"/>
      <c r="P802" s="10"/>
      <c r="Q802" s="10" t="str">
        <f>"459.26"</f>
        <v>459.26</v>
      </c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 t="str">
        <f>"276.29"</f>
        <v>276.29</v>
      </c>
      <c r="AF802" s="10"/>
      <c r="AG802" s="10"/>
      <c r="AH802" s="10"/>
      <c r="AI802" s="10"/>
      <c r="AJ802" s="10"/>
      <c r="AK802" s="10"/>
      <c r="AL802" s="10"/>
      <c r="AM802" s="10"/>
      <c r="AN802" s="10" t="str">
        <f>"339.08"</f>
        <v>339.08</v>
      </c>
      <c r="AO802" s="10"/>
    </row>
    <row r="803" spans="1:41">
      <c r="A803" s="8">
        <v>801</v>
      </c>
      <c r="B803" s="8">
        <v>11004</v>
      </c>
      <c r="C803" s="8" t="s">
        <v>989</v>
      </c>
      <c r="D803" s="8" t="s">
        <v>80</v>
      </c>
      <c r="E803" s="2" t="str">
        <f>"307.93"</f>
        <v>307.93</v>
      </c>
      <c r="F803" s="9" t="s">
        <v>9</v>
      </c>
      <c r="G803" s="9">
        <v>2017</v>
      </c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 t="str">
        <f>"267.93"</f>
        <v>267.93</v>
      </c>
      <c r="AJ803" s="10"/>
      <c r="AK803" s="10"/>
      <c r="AL803" s="10"/>
      <c r="AM803" s="10"/>
      <c r="AN803" s="10"/>
      <c r="AO803" s="10"/>
    </row>
    <row r="804" spans="1:41">
      <c r="A804" s="8">
        <v>802</v>
      </c>
      <c r="B804" s="8">
        <v>10148</v>
      </c>
      <c r="C804" s="8" t="s">
        <v>990</v>
      </c>
      <c r="D804" s="8" t="s">
        <v>10</v>
      </c>
      <c r="E804" s="2" t="str">
        <f>"309.50"</f>
        <v>309.50</v>
      </c>
      <c r="F804" s="9"/>
      <c r="G804" s="9">
        <v>2017</v>
      </c>
      <c r="H804" s="10" t="str">
        <f>"352.55"</f>
        <v>352.55</v>
      </c>
      <c r="I804" s="10"/>
      <c r="J804" s="10"/>
      <c r="K804" s="10"/>
      <c r="L804" s="10"/>
      <c r="M804" s="10"/>
      <c r="N804" s="10"/>
      <c r="O804" s="10"/>
      <c r="P804" s="10"/>
      <c r="Q804" s="10" t="str">
        <f>"332.58"</f>
        <v>332.58</v>
      </c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  <c r="AL804" s="10"/>
      <c r="AM804" s="10"/>
      <c r="AN804" s="10" t="str">
        <f>"286.41"</f>
        <v>286.41</v>
      </c>
      <c r="AO804" s="10"/>
    </row>
    <row r="805" spans="1:41">
      <c r="A805" s="8">
        <v>803</v>
      </c>
      <c r="B805" s="8">
        <v>10327</v>
      </c>
      <c r="C805" s="8" t="s">
        <v>991</v>
      </c>
      <c r="D805" s="8" t="s">
        <v>94</v>
      </c>
      <c r="E805" s="2" t="str">
        <f>"309.82"</f>
        <v>309.82</v>
      </c>
      <c r="F805" s="9"/>
      <c r="G805" s="9">
        <v>2017</v>
      </c>
      <c r="H805" s="10" t="str">
        <f>"262.56"</f>
        <v>262.56</v>
      </c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 t="str">
        <f>"362.59"</f>
        <v>362.59</v>
      </c>
      <c r="V805" s="10"/>
      <c r="W805" s="10"/>
      <c r="X805" s="10" t="str">
        <f>"257.04"</f>
        <v>257.04</v>
      </c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  <c r="AL805" s="10"/>
      <c r="AM805" s="10"/>
      <c r="AN805" s="10"/>
      <c r="AO805" s="10"/>
    </row>
    <row r="806" spans="1:41">
      <c r="A806" s="8">
        <v>804</v>
      </c>
      <c r="B806" s="8">
        <v>10747</v>
      </c>
      <c r="C806" s="8" t="s">
        <v>992</v>
      </c>
      <c r="D806" s="8" t="s">
        <v>19</v>
      </c>
      <c r="E806" s="2" t="str">
        <f>"309.89"</f>
        <v>309.89</v>
      </c>
      <c r="F806" s="9"/>
      <c r="G806" s="9">
        <v>2017</v>
      </c>
      <c r="H806" s="10" t="str">
        <f>"462.54"</f>
        <v>462.54</v>
      </c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 t="str">
        <f>"503.42"</f>
        <v>503.42</v>
      </c>
      <c r="Z806" s="10"/>
      <c r="AA806" s="10"/>
      <c r="AB806" s="10" t="str">
        <f>"332.39"</f>
        <v>332.39</v>
      </c>
      <c r="AC806" s="10" t="str">
        <f>"313.38"</f>
        <v>313.38</v>
      </c>
      <c r="AD806" s="10" t="str">
        <f>"306.40"</f>
        <v>306.40</v>
      </c>
      <c r="AE806" s="10"/>
      <c r="AF806" s="10"/>
      <c r="AG806" s="10"/>
      <c r="AH806" s="10"/>
      <c r="AI806" s="10" t="str">
        <f>"417.47"</f>
        <v>417.47</v>
      </c>
      <c r="AJ806" s="10"/>
      <c r="AK806" s="10"/>
      <c r="AL806" s="10"/>
      <c r="AM806" s="10"/>
      <c r="AN806" s="10"/>
      <c r="AO806" s="10"/>
    </row>
    <row r="807" spans="1:41">
      <c r="A807" s="8">
        <v>805</v>
      </c>
      <c r="B807" s="8">
        <v>2258</v>
      </c>
      <c r="C807" s="8" t="s">
        <v>993</v>
      </c>
      <c r="D807" s="8" t="s">
        <v>46</v>
      </c>
      <c r="E807" s="2" t="str">
        <f>"310.05"</f>
        <v>310.05</v>
      </c>
      <c r="F807" s="9"/>
      <c r="G807" s="9">
        <v>2017</v>
      </c>
      <c r="H807" s="10" t="str">
        <f>"279.73"</f>
        <v>279.73</v>
      </c>
      <c r="I807" s="10"/>
      <c r="J807" s="10"/>
      <c r="K807" s="10"/>
      <c r="L807" s="10"/>
      <c r="M807" s="10"/>
      <c r="N807" s="10" t="str">
        <f>"327.75"</f>
        <v>327.75</v>
      </c>
      <c r="O807" s="10"/>
      <c r="P807" s="10" t="str">
        <f>"292.35"</f>
        <v>292.35</v>
      </c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  <c r="AL807" s="10"/>
      <c r="AM807" s="10"/>
      <c r="AN807" s="10"/>
      <c r="AO807" s="10"/>
    </row>
    <row r="808" spans="1:41">
      <c r="A808" s="8">
        <v>806</v>
      </c>
      <c r="B808" s="8">
        <v>5713</v>
      </c>
      <c r="C808" s="8" t="s">
        <v>994</v>
      </c>
      <c r="D808" s="8" t="s">
        <v>63</v>
      </c>
      <c r="E808" s="2" t="str">
        <f>"310.06"</f>
        <v>310.06</v>
      </c>
      <c r="F808" s="9" t="s">
        <v>9</v>
      </c>
      <c r="G808" s="9">
        <v>2017</v>
      </c>
      <c r="H808" s="10" t="str">
        <f>"418.78"</f>
        <v>418.78</v>
      </c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 t="str">
        <f>"270.06"</f>
        <v>270.06</v>
      </c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  <c r="AL808" s="10"/>
      <c r="AM808" s="10"/>
      <c r="AN808" s="10"/>
      <c r="AO808" s="10"/>
    </row>
    <row r="809" spans="1:41">
      <c r="A809" s="8">
        <v>807</v>
      </c>
      <c r="B809" s="8">
        <v>11227</v>
      </c>
      <c r="C809" s="8" t="s">
        <v>995</v>
      </c>
      <c r="D809" s="8" t="s">
        <v>78</v>
      </c>
      <c r="E809" s="2" t="str">
        <f>"310.13"</f>
        <v>310.13</v>
      </c>
      <c r="F809" s="9" t="s">
        <v>9</v>
      </c>
      <c r="G809" s="9">
        <v>2017</v>
      </c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  <c r="AL809" s="10" t="str">
        <f>"270.13"</f>
        <v>270.13</v>
      </c>
      <c r="AM809" s="10"/>
      <c r="AN809" s="10"/>
      <c r="AO809" s="10"/>
    </row>
    <row r="810" spans="1:41">
      <c r="A810" s="8">
        <v>808</v>
      </c>
      <c r="B810" s="8">
        <v>10811</v>
      </c>
      <c r="C810" s="8" t="s">
        <v>996</v>
      </c>
      <c r="D810" s="8" t="s">
        <v>19</v>
      </c>
      <c r="E810" s="2" t="str">
        <f>"310.75"</f>
        <v>310.75</v>
      </c>
      <c r="F810" s="9" t="s">
        <v>9</v>
      </c>
      <c r="G810" s="9">
        <v>2017</v>
      </c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 t="str">
        <f>"270.75"</f>
        <v>270.75</v>
      </c>
      <c r="AC810" s="10"/>
      <c r="AD810" s="10"/>
      <c r="AE810" s="10"/>
      <c r="AF810" s="10"/>
      <c r="AG810" s="10"/>
      <c r="AH810" s="10"/>
      <c r="AI810" s="10"/>
      <c r="AJ810" s="10"/>
      <c r="AK810" s="10"/>
      <c r="AL810" s="10"/>
      <c r="AM810" s="10"/>
      <c r="AN810" s="10"/>
      <c r="AO810" s="10"/>
    </row>
    <row r="811" spans="1:41">
      <c r="A811" s="8">
        <v>809</v>
      </c>
      <c r="B811" s="8">
        <v>5151</v>
      </c>
      <c r="C811" s="8" t="s">
        <v>997</v>
      </c>
      <c r="D811" s="8" t="s">
        <v>533</v>
      </c>
      <c r="E811" s="2" t="str">
        <f>"310.91"</f>
        <v>310.91</v>
      </c>
      <c r="F811" s="9" t="s">
        <v>9</v>
      </c>
      <c r="G811" s="9">
        <v>2017</v>
      </c>
      <c r="H811" s="10" t="str">
        <f>"384.50"</f>
        <v>384.50</v>
      </c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 t="str">
        <f>"270.91"</f>
        <v>270.91</v>
      </c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  <c r="AL811" s="10"/>
      <c r="AM811" s="10"/>
      <c r="AN811" s="10"/>
      <c r="AO811" s="10"/>
    </row>
    <row r="812" spans="1:41">
      <c r="A812" s="8">
        <v>810</v>
      </c>
      <c r="B812" s="8">
        <v>10717</v>
      </c>
      <c r="C812" s="8" t="s">
        <v>998</v>
      </c>
      <c r="D812" s="8" t="s">
        <v>19</v>
      </c>
      <c r="E812" s="2" t="str">
        <f>"310.94"</f>
        <v>310.94</v>
      </c>
      <c r="F812" s="9"/>
      <c r="G812" s="9">
        <v>2017</v>
      </c>
      <c r="H812" s="10" t="str">
        <f>"534.93"</f>
        <v>534.93</v>
      </c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 t="str">
        <f>"428.73"</f>
        <v>428.73</v>
      </c>
      <c r="AC812" s="10"/>
      <c r="AD812" s="10"/>
      <c r="AE812" s="10"/>
      <c r="AF812" s="10"/>
      <c r="AG812" s="10"/>
      <c r="AH812" s="10"/>
      <c r="AI812" s="10" t="str">
        <f>"271.28"</f>
        <v>271.28</v>
      </c>
      <c r="AJ812" s="10"/>
      <c r="AK812" s="10"/>
      <c r="AL812" s="10"/>
      <c r="AM812" s="10" t="str">
        <f>"350.60"</f>
        <v>350.60</v>
      </c>
      <c r="AN812" s="10"/>
      <c r="AO812" s="10"/>
    </row>
    <row r="813" spans="1:41">
      <c r="A813" s="8">
        <v>811</v>
      </c>
      <c r="B813" s="8">
        <v>3264</v>
      </c>
      <c r="C813" s="8" t="s">
        <v>999</v>
      </c>
      <c r="D813" s="8" t="s">
        <v>98</v>
      </c>
      <c r="E813" s="2" t="str">
        <f>"311.16"</f>
        <v>311.16</v>
      </c>
      <c r="F813" s="9" t="s">
        <v>9</v>
      </c>
      <c r="G813" s="9">
        <v>2017</v>
      </c>
      <c r="H813" s="10" t="str">
        <f>"267.27"</f>
        <v>267.27</v>
      </c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 t="str">
        <f>"271.16"</f>
        <v>271.16</v>
      </c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  <c r="AM813" s="10"/>
      <c r="AN813" s="10"/>
      <c r="AO813" s="10"/>
    </row>
    <row r="814" spans="1:41">
      <c r="A814" s="8">
        <v>812</v>
      </c>
      <c r="B814" s="8">
        <v>11252</v>
      </c>
      <c r="C814" s="8" t="s">
        <v>1000</v>
      </c>
      <c r="D814" s="8" t="s">
        <v>10</v>
      </c>
      <c r="E814" s="2" t="str">
        <f>"311.74"</f>
        <v>311.74</v>
      </c>
      <c r="F814" s="9"/>
      <c r="G814" s="9">
        <v>2017</v>
      </c>
      <c r="H814" s="10"/>
      <c r="I814" s="10"/>
      <c r="J814" s="10"/>
      <c r="K814" s="10"/>
      <c r="L814" s="10"/>
      <c r="M814" s="10"/>
      <c r="N814" s="10"/>
      <c r="O814" s="10"/>
      <c r="P814" s="10"/>
      <c r="Q814" s="10" t="str">
        <f>"462.67"</f>
        <v>462.67</v>
      </c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 t="str">
        <f>"320.92"</f>
        <v>320.92</v>
      </c>
      <c r="AF814" s="10" t="str">
        <f>"472.94"</f>
        <v>472.94</v>
      </c>
      <c r="AG814" s="10"/>
      <c r="AH814" s="10"/>
      <c r="AI814" s="10"/>
      <c r="AJ814" s="10"/>
      <c r="AK814" s="10"/>
      <c r="AL814" s="10"/>
      <c r="AM814" s="10"/>
      <c r="AN814" s="10" t="str">
        <f>"302.56"</f>
        <v>302.56</v>
      </c>
      <c r="AO814" s="10"/>
    </row>
    <row r="815" spans="1:41">
      <c r="A815" s="8">
        <v>813</v>
      </c>
      <c r="B815" s="8">
        <v>10885</v>
      </c>
      <c r="C815" s="8" t="s">
        <v>1001</v>
      </c>
      <c r="D815" s="8" t="s">
        <v>10</v>
      </c>
      <c r="E815" s="2" t="str">
        <f>"312.29"</f>
        <v>312.29</v>
      </c>
      <c r="F815" s="9"/>
      <c r="G815" s="9">
        <v>2017</v>
      </c>
      <c r="H815" s="10" t="str">
        <f>"465.15"</f>
        <v>465.15</v>
      </c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 t="str">
        <f>"296.98"</f>
        <v>296.98</v>
      </c>
      <c r="AF815" s="10" t="str">
        <f>"327.60"</f>
        <v>327.60</v>
      </c>
      <c r="AG815" s="10"/>
      <c r="AH815" s="10"/>
      <c r="AI815" s="10"/>
      <c r="AJ815" s="10"/>
      <c r="AK815" s="10"/>
      <c r="AL815" s="10"/>
      <c r="AM815" s="10"/>
      <c r="AN815" s="10"/>
      <c r="AO815" s="10"/>
    </row>
    <row r="816" spans="1:41">
      <c r="A816" s="8">
        <v>814</v>
      </c>
      <c r="B816" s="8">
        <v>1815</v>
      </c>
      <c r="C816" s="8" t="s">
        <v>1002</v>
      </c>
      <c r="D816" s="8" t="s">
        <v>89</v>
      </c>
      <c r="E816" s="2" t="str">
        <f>"312.35"</f>
        <v>312.35</v>
      </c>
      <c r="F816" s="9" t="s">
        <v>11</v>
      </c>
      <c r="G816" s="9">
        <v>2017</v>
      </c>
      <c r="H816" s="10" t="str">
        <f>"272.35"</f>
        <v>272.35</v>
      </c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  <c r="AL816" s="10"/>
      <c r="AM816" s="10"/>
      <c r="AN816" s="10"/>
      <c r="AO816" s="10"/>
    </row>
    <row r="817" spans="1:41">
      <c r="A817" s="8">
        <v>815</v>
      </c>
      <c r="B817" s="8">
        <v>3134</v>
      </c>
      <c r="C817" s="8" t="s">
        <v>1003</v>
      </c>
      <c r="D817" s="8" t="s">
        <v>426</v>
      </c>
      <c r="E817" s="2" t="str">
        <f>"313.16"</f>
        <v>313.16</v>
      </c>
      <c r="F817" s="9" t="s">
        <v>11</v>
      </c>
      <c r="G817" s="9">
        <v>2017</v>
      </c>
      <c r="H817" s="10" t="str">
        <f>"273.16"</f>
        <v>273.16</v>
      </c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  <c r="AL817" s="10"/>
      <c r="AM817" s="10"/>
      <c r="AN817" s="10"/>
      <c r="AO817" s="10"/>
    </row>
    <row r="818" spans="1:41">
      <c r="A818" s="8">
        <v>816</v>
      </c>
      <c r="B818" s="8">
        <v>10969</v>
      </c>
      <c r="C818" s="8" t="s">
        <v>1004</v>
      </c>
      <c r="D818" s="8" t="s">
        <v>14</v>
      </c>
      <c r="E818" s="2" t="str">
        <f>"313.38"</f>
        <v>313.38</v>
      </c>
      <c r="F818" s="9" t="s">
        <v>11</v>
      </c>
      <c r="G818" s="9">
        <v>2017</v>
      </c>
      <c r="H818" s="10" t="str">
        <f>"273.38"</f>
        <v>273.38</v>
      </c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  <c r="AL818" s="10"/>
      <c r="AM818" s="10"/>
      <c r="AN818" s="10"/>
      <c r="AO818" s="10"/>
    </row>
    <row r="819" spans="1:41">
      <c r="A819" s="8">
        <v>817</v>
      </c>
      <c r="B819" s="8">
        <v>5770</v>
      </c>
      <c r="C819" s="8" t="s">
        <v>1005</v>
      </c>
      <c r="D819" s="8" t="s">
        <v>186</v>
      </c>
      <c r="E819" s="2" t="str">
        <f>"313.90"</f>
        <v>313.90</v>
      </c>
      <c r="F819" s="9" t="s">
        <v>11</v>
      </c>
      <c r="G819" s="9">
        <v>2017</v>
      </c>
      <c r="H819" s="10" t="str">
        <f>"273.90"</f>
        <v>273.90</v>
      </c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  <c r="AL819" s="10"/>
      <c r="AM819" s="10"/>
      <c r="AN819" s="10"/>
      <c r="AO819" s="10"/>
    </row>
    <row r="820" spans="1:41">
      <c r="A820" s="8">
        <v>818</v>
      </c>
      <c r="B820" s="8">
        <v>11389</v>
      </c>
      <c r="C820" s="8" t="s">
        <v>1006</v>
      </c>
      <c r="D820" s="8" t="s">
        <v>12</v>
      </c>
      <c r="E820" s="2" t="str">
        <f>"315.23"</f>
        <v>315.23</v>
      </c>
      <c r="F820" s="9"/>
      <c r="G820" s="9">
        <v>2017</v>
      </c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 t="str">
        <f>"372.20"</f>
        <v>372.20</v>
      </c>
      <c r="W820" s="10"/>
      <c r="X820" s="10"/>
      <c r="Y820" s="10"/>
      <c r="Z820" s="10"/>
      <c r="AA820" s="10"/>
      <c r="AB820" s="10"/>
      <c r="AC820" s="10" t="str">
        <f>"374.56"</f>
        <v>374.56</v>
      </c>
      <c r="AD820" s="10" t="str">
        <f>"352.46"</f>
        <v>352.46</v>
      </c>
      <c r="AE820" s="10"/>
      <c r="AF820" s="10"/>
      <c r="AG820" s="10"/>
      <c r="AH820" s="10"/>
      <c r="AI820" s="10" t="str">
        <f>"278.00"</f>
        <v>278.00</v>
      </c>
      <c r="AJ820" s="10"/>
      <c r="AK820" s="10"/>
      <c r="AL820" s="10"/>
      <c r="AM820" s="10"/>
      <c r="AN820" s="10"/>
      <c r="AO820" s="10"/>
    </row>
    <row r="821" spans="1:41">
      <c r="A821" s="8">
        <v>819</v>
      </c>
      <c r="B821" s="8">
        <v>1296</v>
      </c>
      <c r="C821" s="8" t="s">
        <v>1007</v>
      </c>
      <c r="D821" s="8" t="s">
        <v>46</v>
      </c>
      <c r="E821" s="2" t="str">
        <f>"315.32"</f>
        <v>315.32</v>
      </c>
      <c r="F821" s="9"/>
      <c r="G821" s="9">
        <v>2017</v>
      </c>
      <c r="H821" s="10" t="str">
        <f>"264.08"</f>
        <v>264.08</v>
      </c>
      <c r="I821" s="10"/>
      <c r="J821" s="10"/>
      <c r="K821" s="10"/>
      <c r="L821" s="10"/>
      <c r="M821" s="10"/>
      <c r="N821" s="10" t="str">
        <f>"350.66"</f>
        <v>350.66</v>
      </c>
      <c r="O821" s="10"/>
      <c r="P821" s="10" t="str">
        <f>"297.76"</f>
        <v>297.76</v>
      </c>
      <c r="Q821" s="10"/>
      <c r="R821" s="10"/>
      <c r="S821" s="10"/>
      <c r="T821" s="10" t="str">
        <f>"332.88"</f>
        <v>332.88</v>
      </c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  <c r="AL821" s="10"/>
      <c r="AM821" s="10"/>
      <c r="AN821" s="10"/>
      <c r="AO821" s="10"/>
    </row>
    <row r="822" spans="1:41">
      <c r="A822" s="8">
        <v>820</v>
      </c>
      <c r="B822" s="8">
        <v>1433</v>
      </c>
      <c r="C822" s="8" t="s">
        <v>1008</v>
      </c>
      <c r="D822" s="8" t="s">
        <v>31</v>
      </c>
      <c r="E822" s="2" t="str">
        <f>"315.70"</f>
        <v>315.70</v>
      </c>
      <c r="F822" s="9" t="s">
        <v>11</v>
      </c>
      <c r="G822" s="9">
        <v>2017</v>
      </c>
      <c r="H822" s="10" t="str">
        <f>"275.70"</f>
        <v>275.70</v>
      </c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  <c r="AL822" s="10"/>
      <c r="AM822" s="10"/>
      <c r="AN822" s="10"/>
      <c r="AO822" s="10"/>
    </row>
    <row r="823" spans="1:41">
      <c r="A823" s="8">
        <v>821</v>
      </c>
      <c r="B823" s="8">
        <v>6122</v>
      </c>
      <c r="C823" s="8" t="s">
        <v>1009</v>
      </c>
      <c r="D823" s="8" t="s">
        <v>50</v>
      </c>
      <c r="E823" s="2" t="str">
        <f>"315.88"</f>
        <v>315.88</v>
      </c>
      <c r="F823" s="9" t="s">
        <v>11</v>
      </c>
      <c r="G823" s="9">
        <v>2017</v>
      </c>
      <c r="H823" s="10" t="str">
        <f>"275.88"</f>
        <v>275.88</v>
      </c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  <c r="AL823" s="10"/>
      <c r="AM823" s="10"/>
      <c r="AN823" s="10"/>
      <c r="AO823" s="10"/>
    </row>
    <row r="824" spans="1:41">
      <c r="A824" s="8">
        <v>822</v>
      </c>
      <c r="B824" s="8">
        <v>842</v>
      </c>
      <c r="C824" s="8" t="s">
        <v>1010</v>
      </c>
      <c r="D824" s="8" t="s">
        <v>17</v>
      </c>
      <c r="E824" s="2" t="str">
        <f>"315.92"</f>
        <v>315.92</v>
      </c>
      <c r="F824" s="9" t="s">
        <v>11</v>
      </c>
      <c r="G824" s="9">
        <v>2017</v>
      </c>
      <c r="H824" s="10" t="str">
        <f>"275.92"</f>
        <v>275.92</v>
      </c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  <c r="AL824" s="10"/>
      <c r="AM824" s="10"/>
      <c r="AN824" s="10"/>
      <c r="AO824" s="10"/>
    </row>
    <row r="825" spans="1:41">
      <c r="A825" s="8">
        <v>823</v>
      </c>
      <c r="B825" s="8">
        <v>10809</v>
      </c>
      <c r="C825" s="8" t="s">
        <v>1011</v>
      </c>
      <c r="D825" s="8" t="s">
        <v>19</v>
      </c>
      <c r="E825" s="2" t="str">
        <f>"315.93"</f>
        <v>315.93</v>
      </c>
      <c r="F825" s="9"/>
      <c r="G825" s="9">
        <v>2017</v>
      </c>
      <c r="H825" s="10" t="str">
        <f>"441.73"</f>
        <v>441.73</v>
      </c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 t="str">
        <f>"336.35"</f>
        <v>336.35</v>
      </c>
      <c r="W825" s="10"/>
      <c r="X825" s="10"/>
      <c r="Y825" s="10"/>
      <c r="Z825" s="10"/>
      <c r="AA825" s="10"/>
      <c r="AB825" s="10" t="str">
        <f>"338.33"</f>
        <v>338.33</v>
      </c>
      <c r="AC825" s="10"/>
      <c r="AD825" s="10"/>
      <c r="AE825" s="10"/>
      <c r="AF825" s="10"/>
      <c r="AG825" s="10"/>
      <c r="AH825" s="10"/>
      <c r="AI825" s="10"/>
      <c r="AJ825" s="10" t="str">
        <f>"295.51"</f>
        <v>295.51</v>
      </c>
      <c r="AK825" s="10"/>
      <c r="AL825" s="10"/>
      <c r="AM825" s="10"/>
      <c r="AN825" s="10"/>
      <c r="AO825" s="10"/>
    </row>
    <row r="826" spans="1:41">
      <c r="A826" s="8">
        <v>824</v>
      </c>
      <c r="B826" s="8">
        <v>10979</v>
      </c>
      <c r="C826" s="8" t="s">
        <v>1012</v>
      </c>
      <c r="D826" s="8" t="s">
        <v>1013</v>
      </c>
      <c r="E826" s="2" t="str">
        <f>"316.04"</f>
        <v>316.04</v>
      </c>
      <c r="F826" s="9"/>
      <c r="G826" s="9">
        <v>2017</v>
      </c>
      <c r="H826" s="10"/>
      <c r="I826" s="10"/>
      <c r="J826" s="10"/>
      <c r="K826" s="10"/>
      <c r="L826" s="10"/>
      <c r="M826" s="10" t="str">
        <f>"317.72"</f>
        <v>317.72</v>
      </c>
      <c r="N826" s="10"/>
      <c r="O826" s="10" t="str">
        <f>"314.36"</f>
        <v>314.36</v>
      </c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 t="str">
        <f>"337.32"</f>
        <v>337.32</v>
      </c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  <c r="AL826" s="10"/>
      <c r="AM826" s="10"/>
      <c r="AN826" s="10"/>
      <c r="AO826" s="10"/>
    </row>
    <row r="827" spans="1:41">
      <c r="A827" s="8">
        <v>825</v>
      </c>
      <c r="B827" s="8">
        <v>10977</v>
      </c>
      <c r="C827" s="8" t="s">
        <v>1014</v>
      </c>
      <c r="D827" s="8" t="s">
        <v>48</v>
      </c>
      <c r="E827" s="2" t="str">
        <f>"316.16"</f>
        <v>316.16</v>
      </c>
      <c r="F827" s="9"/>
      <c r="G827" s="9">
        <v>2017</v>
      </c>
      <c r="H827" s="10"/>
      <c r="I827" s="10"/>
      <c r="J827" s="10"/>
      <c r="K827" s="10"/>
      <c r="L827" s="10"/>
      <c r="M827" s="10" t="str">
        <f>"300.62"</f>
        <v>300.62</v>
      </c>
      <c r="N827" s="10"/>
      <c r="O827" s="10" t="str">
        <f>"331.69"</f>
        <v>331.69</v>
      </c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  <c r="AL827" s="10" t="str">
        <f>"340.25"</f>
        <v>340.25</v>
      </c>
      <c r="AM827" s="10"/>
      <c r="AN827" s="10"/>
      <c r="AO827" s="10"/>
    </row>
    <row r="828" spans="1:41">
      <c r="A828" s="8">
        <v>826</v>
      </c>
      <c r="B828" s="8">
        <v>6656</v>
      </c>
      <c r="C828" s="8" t="s">
        <v>1015</v>
      </c>
      <c r="D828" s="8" t="s">
        <v>13</v>
      </c>
      <c r="E828" s="2" t="str">
        <f>"316.32"</f>
        <v>316.32</v>
      </c>
      <c r="F828" s="9" t="s">
        <v>11</v>
      </c>
      <c r="G828" s="9">
        <v>2017</v>
      </c>
      <c r="H828" s="10" t="str">
        <f>"276.32"</f>
        <v>276.32</v>
      </c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  <c r="AL828" s="10"/>
      <c r="AM828" s="10"/>
      <c r="AN828" s="10"/>
      <c r="AO828" s="10"/>
    </row>
    <row r="829" spans="1:41">
      <c r="A829" s="8">
        <v>827</v>
      </c>
      <c r="B829" s="8">
        <v>6370</v>
      </c>
      <c r="C829" s="8" t="s">
        <v>1016</v>
      </c>
      <c r="D829" s="8" t="s">
        <v>915</v>
      </c>
      <c r="E829" s="2" t="str">
        <f>"316.45"</f>
        <v>316.45</v>
      </c>
      <c r="F829" s="9" t="s">
        <v>11</v>
      </c>
      <c r="G829" s="9">
        <v>2017</v>
      </c>
      <c r="H829" s="10" t="str">
        <f>"276.45"</f>
        <v>276.45</v>
      </c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  <c r="AL829" s="10"/>
      <c r="AM829" s="10"/>
      <c r="AN829" s="10"/>
      <c r="AO829" s="10"/>
    </row>
    <row r="830" spans="1:41">
      <c r="A830" s="8">
        <v>828</v>
      </c>
      <c r="B830" s="8">
        <v>10875</v>
      </c>
      <c r="C830" s="8" t="s">
        <v>1017</v>
      </c>
      <c r="D830" s="8" t="s">
        <v>10</v>
      </c>
      <c r="E830" s="2" t="str">
        <f>"316.61"</f>
        <v>316.61</v>
      </c>
      <c r="F830" s="9"/>
      <c r="G830" s="9">
        <v>2017</v>
      </c>
      <c r="H830" s="10" t="str">
        <f>"551.11"</f>
        <v>551.11</v>
      </c>
      <c r="I830" s="10"/>
      <c r="J830" s="10"/>
      <c r="K830" s="10"/>
      <c r="L830" s="10"/>
      <c r="M830" s="10"/>
      <c r="N830" s="10"/>
      <c r="O830" s="10"/>
      <c r="P830" s="10"/>
      <c r="Q830" s="10" t="str">
        <f>"425.03"</f>
        <v>425.03</v>
      </c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 t="str">
        <f>"315.44"</f>
        <v>315.44</v>
      </c>
      <c r="AF830" s="10" t="str">
        <f>"351.89"</f>
        <v>351.89</v>
      </c>
      <c r="AG830" s="10"/>
      <c r="AH830" s="10"/>
      <c r="AI830" s="10"/>
      <c r="AJ830" s="10"/>
      <c r="AK830" s="10"/>
      <c r="AL830" s="10"/>
      <c r="AM830" s="10"/>
      <c r="AN830" s="10" t="str">
        <f>"317.77"</f>
        <v>317.77</v>
      </c>
      <c r="AO830" s="10"/>
    </row>
    <row r="831" spans="1:41">
      <c r="A831" s="8">
        <v>829</v>
      </c>
      <c r="B831" s="8">
        <v>2172</v>
      </c>
      <c r="C831" s="8" t="s">
        <v>1018</v>
      </c>
      <c r="D831" s="8" t="s">
        <v>10</v>
      </c>
      <c r="E831" s="2" t="str">
        <f>"317.64"</f>
        <v>317.64</v>
      </c>
      <c r="F831" s="9"/>
      <c r="G831" s="9">
        <v>2017</v>
      </c>
      <c r="H831" s="10" t="str">
        <f>"276.34"</f>
        <v>276.34</v>
      </c>
      <c r="I831" s="10"/>
      <c r="J831" s="10"/>
      <c r="K831" s="10"/>
      <c r="L831" s="10"/>
      <c r="M831" s="10"/>
      <c r="N831" s="10"/>
      <c r="O831" s="10"/>
      <c r="P831" s="10"/>
      <c r="Q831" s="10" t="str">
        <f>"343.77"</f>
        <v>343.77</v>
      </c>
      <c r="R831" s="10" t="str">
        <f>"378.06"</f>
        <v>378.06</v>
      </c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 t="str">
        <f>"291.50"</f>
        <v>291.50</v>
      </c>
      <c r="AF831" s="10" t="str">
        <f>"356.07"</f>
        <v>356.07</v>
      </c>
      <c r="AG831" s="10"/>
      <c r="AH831" s="10"/>
      <c r="AI831" s="10"/>
      <c r="AJ831" s="10"/>
      <c r="AK831" s="10"/>
      <c r="AL831" s="10"/>
      <c r="AM831" s="10"/>
      <c r="AN831" s="10"/>
      <c r="AO831" s="10"/>
    </row>
    <row r="832" spans="1:41">
      <c r="A832" s="8">
        <v>830</v>
      </c>
      <c r="B832" s="8">
        <v>6173</v>
      </c>
      <c r="C832" s="8" t="s">
        <v>1019</v>
      </c>
      <c r="D832" s="8" t="s">
        <v>418</v>
      </c>
      <c r="E832" s="2" t="str">
        <f>"317.81"</f>
        <v>317.81</v>
      </c>
      <c r="F832" s="9"/>
      <c r="G832" s="9">
        <v>2017</v>
      </c>
      <c r="H832" s="10" t="str">
        <f>"287.71"</f>
        <v>287.71</v>
      </c>
      <c r="I832" s="10"/>
      <c r="J832" s="10"/>
      <c r="K832" s="10"/>
      <c r="L832" s="10"/>
      <c r="M832" s="10"/>
      <c r="N832" s="10" t="str">
        <f>"347.92"</f>
        <v>347.92</v>
      </c>
      <c r="O832" s="10"/>
      <c r="P832" s="10" t="str">
        <f>"287.70"</f>
        <v>287.70</v>
      </c>
      <c r="Q832" s="10"/>
      <c r="R832" s="10"/>
      <c r="S832" s="10"/>
      <c r="T832" s="10" t="str">
        <f>"474.46"</f>
        <v>474.46</v>
      </c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  <c r="AL832" s="10"/>
      <c r="AM832" s="10"/>
      <c r="AN832" s="10"/>
      <c r="AO832" s="10"/>
    </row>
    <row r="833" spans="1:41">
      <c r="A833" s="8">
        <v>831</v>
      </c>
      <c r="B833" s="8">
        <v>484</v>
      </c>
      <c r="C833" s="8" t="s">
        <v>1020</v>
      </c>
      <c r="D833" s="8" t="s">
        <v>99</v>
      </c>
      <c r="E833" s="2" t="str">
        <f>"317.83"</f>
        <v>317.83</v>
      </c>
      <c r="F833" s="9"/>
      <c r="G833" s="9">
        <v>2017</v>
      </c>
      <c r="H833" s="10" t="str">
        <f>"309.73"</f>
        <v>309.73</v>
      </c>
      <c r="I833" s="10"/>
      <c r="J833" s="10"/>
      <c r="K833" s="10"/>
      <c r="L833" s="10"/>
      <c r="M833" s="10"/>
      <c r="N833" s="10" t="str">
        <f>"287.28"</f>
        <v>287.28</v>
      </c>
      <c r="O833" s="10"/>
      <c r="P833" s="10" t="str">
        <f>"348.38"</f>
        <v>348.38</v>
      </c>
      <c r="Q833" s="10"/>
      <c r="R833" s="10"/>
      <c r="S833" s="10"/>
      <c r="T833" s="10" t="str">
        <f>"392.66"</f>
        <v>392.66</v>
      </c>
      <c r="U833" s="10"/>
      <c r="V833" s="10"/>
      <c r="W833" s="10"/>
      <c r="X833" s="10"/>
      <c r="Y833" s="10"/>
      <c r="Z833" s="10"/>
      <c r="AA833" s="10" t="str">
        <f>"361.10"</f>
        <v>361.10</v>
      </c>
      <c r="AB833" s="10"/>
      <c r="AC833" s="10"/>
      <c r="AD833" s="10"/>
      <c r="AE833" s="10"/>
      <c r="AF833" s="10"/>
      <c r="AG833" s="10"/>
      <c r="AH833" s="10"/>
      <c r="AI833" s="10" t="str">
        <f>"375.51"</f>
        <v>375.51</v>
      </c>
      <c r="AJ833" s="10"/>
      <c r="AK833" s="10"/>
      <c r="AL833" s="10"/>
      <c r="AM833" s="10"/>
      <c r="AN833" s="10"/>
      <c r="AO833" s="10"/>
    </row>
    <row r="834" spans="1:41">
      <c r="A834" s="8">
        <v>832</v>
      </c>
      <c r="B834" s="8">
        <v>5492</v>
      </c>
      <c r="C834" s="8" t="s">
        <v>1021</v>
      </c>
      <c r="D834" s="8" t="s">
        <v>10</v>
      </c>
      <c r="E834" s="2" t="str">
        <f>"318.10"</f>
        <v>318.10</v>
      </c>
      <c r="F834" s="9"/>
      <c r="G834" s="9">
        <v>2017</v>
      </c>
      <c r="H834" s="10" t="str">
        <f>"328.89"</f>
        <v>328.89</v>
      </c>
      <c r="I834" s="10"/>
      <c r="J834" s="10"/>
      <c r="K834" s="10"/>
      <c r="L834" s="10"/>
      <c r="M834" s="10"/>
      <c r="N834" s="10"/>
      <c r="O834" s="10"/>
      <c r="P834" s="10"/>
      <c r="Q834" s="10" t="str">
        <f>"332.45"</f>
        <v>332.45</v>
      </c>
      <c r="R834" s="10" t="str">
        <f>"367.09"</f>
        <v>367.09</v>
      </c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 t="str">
        <f>"313.72"</f>
        <v>313.72</v>
      </c>
      <c r="AF834" s="10" t="str">
        <f>"322.48"</f>
        <v>322.48</v>
      </c>
      <c r="AG834" s="10"/>
      <c r="AH834" s="10"/>
      <c r="AI834" s="10"/>
      <c r="AJ834" s="10"/>
      <c r="AK834" s="10"/>
      <c r="AL834" s="10"/>
      <c r="AM834" s="10"/>
      <c r="AN834" s="10"/>
      <c r="AO834" s="10"/>
    </row>
    <row r="835" spans="1:41">
      <c r="A835" s="8">
        <v>833</v>
      </c>
      <c r="B835" s="8">
        <v>2221</v>
      </c>
      <c r="C835" s="8" t="s">
        <v>1022</v>
      </c>
      <c r="D835" s="8" t="s">
        <v>10</v>
      </c>
      <c r="E835" s="2" t="str">
        <f>"318.20"</f>
        <v>318.20</v>
      </c>
      <c r="F835" s="9" t="s">
        <v>11</v>
      </c>
      <c r="G835" s="9">
        <v>2017</v>
      </c>
      <c r="H835" s="10" t="str">
        <f>"278.20"</f>
        <v>278.20</v>
      </c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  <c r="AL835" s="10"/>
      <c r="AM835" s="10"/>
      <c r="AN835" s="10"/>
      <c r="AO835" s="10"/>
    </row>
    <row r="836" spans="1:41">
      <c r="A836" s="8">
        <v>834</v>
      </c>
      <c r="B836" s="8">
        <v>10965</v>
      </c>
      <c r="C836" s="8" t="s">
        <v>1023</v>
      </c>
      <c r="D836" s="8" t="s">
        <v>27</v>
      </c>
      <c r="E836" s="2" t="str">
        <f>"318.67"</f>
        <v>318.67</v>
      </c>
      <c r="F836" s="9" t="s">
        <v>9</v>
      </c>
      <c r="G836" s="9">
        <v>2017</v>
      </c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 t="str">
        <f>"278.67"</f>
        <v>278.67</v>
      </c>
      <c r="AJ836" s="10"/>
      <c r="AK836" s="10"/>
      <c r="AL836" s="10"/>
      <c r="AM836" s="10"/>
      <c r="AN836" s="10"/>
      <c r="AO836" s="10"/>
    </row>
    <row r="837" spans="1:41">
      <c r="A837" s="8">
        <v>835</v>
      </c>
      <c r="B837" s="8">
        <v>11430</v>
      </c>
      <c r="C837" s="8" t="s">
        <v>1024</v>
      </c>
      <c r="D837" s="8" t="s">
        <v>10</v>
      </c>
      <c r="E837" s="2" t="str">
        <f>"319.39"</f>
        <v>319.39</v>
      </c>
      <c r="F837" s="9" t="s">
        <v>9</v>
      </c>
      <c r="G837" s="9">
        <v>2017</v>
      </c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0"/>
      <c r="AL837" s="10"/>
      <c r="AM837" s="10"/>
      <c r="AN837" s="10" t="str">
        <f>"279.39"</f>
        <v>279.39</v>
      </c>
      <c r="AO837" s="10"/>
    </row>
    <row r="838" spans="1:41">
      <c r="A838" s="8">
        <v>836</v>
      </c>
      <c r="B838" s="8">
        <v>10442</v>
      </c>
      <c r="C838" s="8" t="s">
        <v>1025</v>
      </c>
      <c r="D838" s="8" t="s">
        <v>10</v>
      </c>
      <c r="E838" s="2" t="str">
        <f>"319.64"</f>
        <v>319.64</v>
      </c>
      <c r="F838" s="9"/>
      <c r="G838" s="9">
        <v>2017</v>
      </c>
      <c r="H838" s="10" t="str">
        <f>"395.97"</f>
        <v>395.97</v>
      </c>
      <c r="I838" s="10"/>
      <c r="J838" s="10"/>
      <c r="K838" s="10"/>
      <c r="L838" s="10"/>
      <c r="M838" s="10"/>
      <c r="N838" s="10"/>
      <c r="O838" s="10"/>
      <c r="P838" s="10"/>
      <c r="Q838" s="10" t="str">
        <f>"358.63"</f>
        <v>358.63</v>
      </c>
      <c r="R838" s="10" t="str">
        <f>"427.45"</f>
        <v>427.45</v>
      </c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 t="str">
        <f>"289.48"</f>
        <v>289.48</v>
      </c>
      <c r="AF838" s="10" t="str">
        <f>"349.80"</f>
        <v>349.80</v>
      </c>
      <c r="AG838" s="10"/>
      <c r="AH838" s="10"/>
      <c r="AI838" s="10"/>
      <c r="AJ838" s="10"/>
      <c r="AK838" s="10"/>
      <c r="AL838" s="10"/>
      <c r="AM838" s="10"/>
      <c r="AN838" s="10" t="str">
        <f>"373.76"</f>
        <v>373.76</v>
      </c>
      <c r="AO838" s="10"/>
    </row>
    <row r="839" spans="1:41">
      <c r="A839" s="8">
        <v>837</v>
      </c>
      <c r="B839" s="8">
        <v>10414</v>
      </c>
      <c r="C839" s="8" t="s">
        <v>1026</v>
      </c>
      <c r="D839" s="8" t="s">
        <v>19</v>
      </c>
      <c r="E839" s="2" t="str">
        <f>"319.70"</f>
        <v>319.70</v>
      </c>
      <c r="F839" s="9"/>
      <c r="G839" s="9">
        <v>2017</v>
      </c>
      <c r="H839" s="10" t="str">
        <f>"449.80"</f>
        <v>449.80</v>
      </c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 t="str">
        <f>"407.45"</f>
        <v>407.45</v>
      </c>
      <c r="Z839" s="10"/>
      <c r="AA839" s="10"/>
      <c r="AB839" s="10" t="str">
        <f>"331.09"</f>
        <v>331.09</v>
      </c>
      <c r="AC839" s="10"/>
      <c r="AD839" s="10"/>
      <c r="AE839" s="10"/>
      <c r="AF839" s="10"/>
      <c r="AG839" s="10"/>
      <c r="AH839" s="10"/>
      <c r="AI839" s="10"/>
      <c r="AJ839" s="10"/>
      <c r="AK839" s="10"/>
      <c r="AL839" s="10"/>
      <c r="AM839" s="10" t="str">
        <f>"308.30"</f>
        <v>308.30</v>
      </c>
      <c r="AN839" s="10"/>
      <c r="AO839" s="10"/>
    </row>
    <row r="840" spans="1:41">
      <c r="A840" s="8">
        <v>838</v>
      </c>
      <c r="B840" s="8">
        <v>10539</v>
      </c>
      <c r="C840" s="8" t="s">
        <v>1027</v>
      </c>
      <c r="D840" s="8" t="s">
        <v>10</v>
      </c>
      <c r="E840" s="2" t="str">
        <f>"320.54"</f>
        <v>320.54</v>
      </c>
      <c r="F840" s="9"/>
      <c r="G840" s="9">
        <v>2017</v>
      </c>
      <c r="H840" s="10" t="str">
        <f>"382.55"</f>
        <v>382.55</v>
      </c>
      <c r="I840" s="10"/>
      <c r="J840" s="10"/>
      <c r="K840" s="10"/>
      <c r="L840" s="10"/>
      <c r="M840" s="10"/>
      <c r="N840" s="10"/>
      <c r="O840" s="10"/>
      <c r="P840" s="10"/>
      <c r="Q840" s="10" t="str">
        <f>"329.58"</f>
        <v>329.58</v>
      </c>
      <c r="R840" s="10" t="str">
        <f>"453.80"</f>
        <v>453.80</v>
      </c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 t="str">
        <f>"311.49"</f>
        <v>311.49</v>
      </c>
      <c r="AF840" s="10" t="str">
        <f>"360.05"</f>
        <v>360.05</v>
      </c>
      <c r="AG840" s="10"/>
      <c r="AH840" s="10"/>
      <c r="AI840" s="10"/>
      <c r="AJ840" s="10"/>
      <c r="AK840" s="10"/>
      <c r="AL840" s="10"/>
      <c r="AM840" s="10"/>
      <c r="AN840" s="10"/>
      <c r="AO840" s="10"/>
    </row>
    <row r="841" spans="1:41">
      <c r="A841" s="8">
        <v>839</v>
      </c>
      <c r="B841" s="8">
        <v>10657</v>
      </c>
      <c r="C841" s="8" t="s">
        <v>1028</v>
      </c>
      <c r="D841" s="8" t="s">
        <v>14</v>
      </c>
      <c r="E841" s="2" t="str">
        <f>"321.07"</f>
        <v>321.07</v>
      </c>
      <c r="F841" s="9"/>
      <c r="G841" s="9">
        <v>2017</v>
      </c>
      <c r="H841" s="10" t="str">
        <f>"339.96"</f>
        <v>339.96</v>
      </c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 t="str">
        <f>"336.39"</f>
        <v>336.39</v>
      </c>
      <c r="V841" s="10"/>
      <c r="W841" s="10"/>
      <c r="X841" s="10" t="str">
        <f>"305.75"</f>
        <v>305.75</v>
      </c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0"/>
      <c r="AL841" s="10"/>
      <c r="AM841" s="10"/>
      <c r="AN841" s="10"/>
      <c r="AO841" s="10"/>
    </row>
    <row r="842" spans="1:41">
      <c r="A842" s="8">
        <v>840</v>
      </c>
      <c r="B842" s="8">
        <v>10883</v>
      </c>
      <c r="C842" s="8" t="s">
        <v>1029</v>
      </c>
      <c r="D842" s="8" t="s">
        <v>10</v>
      </c>
      <c r="E842" s="2" t="str">
        <f>"321.79"</f>
        <v>321.79</v>
      </c>
      <c r="F842" s="9"/>
      <c r="G842" s="9">
        <v>2017</v>
      </c>
      <c r="H842" s="10"/>
      <c r="I842" s="10"/>
      <c r="J842" s="10"/>
      <c r="K842" s="10"/>
      <c r="L842" s="10"/>
      <c r="M842" s="10"/>
      <c r="N842" s="10"/>
      <c r="O842" s="10"/>
      <c r="P842" s="10"/>
      <c r="Q842" s="10" t="str">
        <f>"358.36"</f>
        <v>358.36</v>
      </c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 t="str">
        <f>"285.21"</f>
        <v>285.21</v>
      </c>
      <c r="AF842" s="10" t="str">
        <f>"379.40"</f>
        <v>379.40</v>
      </c>
      <c r="AG842" s="10"/>
      <c r="AH842" s="10"/>
      <c r="AI842" s="10"/>
      <c r="AJ842" s="10"/>
      <c r="AK842" s="10"/>
      <c r="AL842" s="10"/>
      <c r="AM842" s="10"/>
      <c r="AN842" s="10"/>
      <c r="AO842" s="10"/>
    </row>
    <row r="843" spans="1:41">
      <c r="A843" s="8">
        <v>841</v>
      </c>
      <c r="B843" s="8">
        <v>2325</v>
      </c>
      <c r="C843" s="8" t="s">
        <v>1030</v>
      </c>
      <c r="D843" s="8" t="s">
        <v>10</v>
      </c>
      <c r="E843" s="2" t="str">
        <f>"321.81"</f>
        <v>321.81</v>
      </c>
      <c r="F843" s="9"/>
      <c r="G843" s="9">
        <v>2017</v>
      </c>
      <c r="H843" s="10" t="str">
        <f>"331.93"</f>
        <v>331.93</v>
      </c>
      <c r="I843" s="10"/>
      <c r="J843" s="10"/>
      <c r="K843" s="10"/>
      <c r="L843" s="10"/>
      <c r="M843" s="10"/>
      <c r="N843" s="10"/>
      <c r="O843" s="10"/>
      <c r="P843" s="10"/>
      <c r="Q843" s="10" t="str">
        <f>"300.95"</f>
        <v>300.95</v>
      </c>
      <c r="R843" s="10" t="str">
        <f>"342.67"</f>
        <v>342.67</v>
      </c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0"/>
      <c r="AL843" s="10"/>
      <c r="AM843" s="10"/>
      <c r="AN843" s="10"/>
      <c r="AO843" s="10"/>
    </row>
    <row r="844" spans="1:41">
      <c r="A844" s="8">
        <v>842</v>
      </c>
      <c r="B844" s="8">
        <v>10485</v>
      </c>
      <c r="C844" s="8" t="s">
        <v>1031</v>
      </c>
      <c r="D844" s="8" t="s">
        <v>19</v>
      </c>
      <c r="E844" s="2" t="str">
        <f>"321.89"</f>
        <v>321.89</v>
      </c>
      <c r="F844" s="9" t="s">
        <v>9</v>
      </c>
      <c r="G844" s="9">
        <v>2017</v>
      </c>
      <c r="H844" s="10" t="str">
        <f>"736.69"</f>
        <v>736.69</v>
      </c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 t="str">
        <f>"281.89"</f>
        <v>281.89</v>
      </c>
      <c r="AC844" s="10"/>
      <c r="AD844" s="10"/>
      <c r="AE844" s="10"/>
      <c r="AF844" s="10"/>
      <c r="AG844" s="10"/>
      <c r="AH844" s="10"/>
      <c r="AI844" s="10"/>
      <c r="AJ844" s="10"/>
      <c r="AK844" s="10"/>
      <c r="AL844" s="10"/>
      <c r="AM844" s="10"/>
      <c r="AN844" s="10"/>
      <c r="AO844" s="10"/>
    </row>
    <row r="845" spans="1:41">
      <c r="A845" s="8">
        <v>843</v>
      </c>
      <c r="B845" s="8">
        <v>10123</v>
      </c>
      <c r="C845" s="8" t="s">
        <v>1032</v>
      </c>
      <c r="D845" s="8" t="s">
        <v>10</v>
      </c>
      <c r="E845" s="2" t="str">
        <f>"322.24"</f>
        <v>322.24</v>
      </c>
      <c r="F845" s="9"/>
      <c r="G845" s="9">
        <v>2017</v>
      </c>
      <c r="H845" s="10" t="str">
        <f>"295.82"</f>
        <v>295.82</v>
      </c>
      <c r="I845" s="10"/>
      <c r="J845" s="10"/>
      <c r="K845" s="10"/>
      <c r="L845" s="10"/>
      <c r="M845" s="10"/>
      <c r="N845" s="10"/>
      <c r="O845" s="10"/>
      <c r="P845" s="10"/>
      <c r="Q845" s="10" t="str">
        <f>"374.45"</f>
        <v>374.45</v>
      </c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 t="str">
        <f>"318.28"</f>
        <v>318.28</v>
      </c>
      <c r="AF845" s="10" t="str">
        <f>"355.31"</f>
        <v>355.31</v>
      </c>
      <c r="AG845" s="10"/>
      <c r="AH845" s="10"/>
      <c r="AI845" s="10"/>
      <c r="AJ845" s="10"/>
      <c r="AK845" s="10"/>
      <c r="AL845" s="10" t="str">
        <f>"326.19"</f>
        <v>326.19</v>
      </c>
      <c r="AM845" s="10"/>
      <c r="AN845" s="10"/>
      <c r="AO845" s="10"/>
    </row>
    <row r="846" spans="1:41">
      <c r="A846" s="8">
        <v>844</v>
      </c>
      <c r="B846" s="8">
        <v>4372</v>
      </c>
      <c r="C846" s="8" t="s">
        <v>1033</v>
      </c>
      <c r="D846" s="8" t="s">
        <v>93</v>
      </c>
      <c r="E846" s="2" t="str">
        <f>"323.16"</f>
        <v>323.16</v>
      </c>
      <c r="F846" s="9"/>
      <c r="G846" s="9">
        <v>2017</v>
      </c>
      <c r="H846" s="10" t="str">
        <f>"401.68"</f>
        <v>401.68</v>
      </c>
      <c r="I846" s="10"/>
      <c r="J846" s="10"/>
      <c r="K846" s="10"/>
      <c r="L846" s="10"/>
      <c r="M846" s="10"/>
      <c r="N846" s="10"/>
      <c r="O846" s="10" t="str">
        <f>"326.57"</f>
        <v>326.57</v>
      </c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 t="str">
        <f>"319.74"</f>
        <v>319.74</v>
      </c>
      <c r="AH846" s="10"/>
      <c r="AI846" s="10"/>
      <c r="AJ846" s="10"/>
      <c r="AK846" s="10"/>
      <c r="AL846" s="10" t="str">
        <f>"451.99"</f>
        <v>451.99</v>
      </c>
      <c r="AM846" s="10"/>
      <c r="AN846" s="10"/>
      <c r="AO846" s="10"/>
    </row>
    <row r="847" spans="1:41">
      <c r="A847" s="8">
        <v>845</v>
      </c>
      <c r="B847" s="8">
        <v>1430</v>
      </c>
      <c r="C847" s="8" t="s">
        <v>1034</v>
      </c>
      <c r="D847" s="8" t="s">
        <v>30</v>
      </c>
      <c r="E847" s="2" t="str">
        <f>"323.16"</f>
        <v>323.16</v>
      </c>
      <c r="F847" s="9" t="s">
        <v>9</v>
      </c>
      <c r="G847" s="9">
        <v>2017</v>
      </c>
      <c r="H847" s="10" t="str">
        <f>"316.29"</f>
        <v>316.29</v>
      </c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 t="str">
        <f>"283.16"</f>
        <v>283.16</v>
      </c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0"/>
      <c r="AL847" s="10"/>
      <c r="AM847" s="10"/>
      <c r="AN847" s="10"/>
      <c r="AO847" s="10"/>
    </row>
    <row r="848" spans="1:41">
      <c r="A848" s="8">
        <v>846</v>
      </c>
      <c r="B848" s="8">
        <v>10787</v>
      </c>
      <c r="C848" s="8" t="s">
        <v>1035</v>
      </c>
      <c r="D848" s="8" t="s">
        <v>19</v>
      </c>
      <c r="E848" s="2" t="str">
        <f>"323.77"</f>
        <v>323.77</v>
      </c>
      <c r="F848" s="9"/>
      <c r="G848" s="9">
        <v>2017</v>
      </c>
      <c r="H848" s="10" t="str">
        <f>"417.89"</f>
        <v>417.89</v>
      </c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 t="str">
        <f>"367.88"</f>
        <v>367.88</v>
      </c>
      <c r="Z848" s="10"/>
      <c r="AA848" s="10"/>
      <c r="AB848" s="10" t="str">
        <f>"279.66"</f>
        <v>279.66</v>
      </c>
      <c r="AC848" s="10"/>
      <c r="AD848" s="10"/>
      <c r="AE848" s="10"/>
      <c r="AF848" s="10"/>
      <c r="AG848" s="10"/>
      <c r="AH848" s="10"/>
      <c r="AI848" s="10"/>
      <c r="AJ848" s="10"/>
      <c r="AK848" s="10"/>
      <c r="AL848" s="10"/>
      <c r="AM848" s="10"/>
      <c r="AN848" s="10"/>
      <c r="AO848" s="10"/>
    </row>
    <row r="849" spans="1:41">
      <c r="A849" s="8">
        <v>847</v>
      </c>
      <c r="B849" s="8">
        <v>8363</v>
      </c>
      <c r="C849" s="8" t="s">
        <v>1086</v>
      </c>
      <c r="D849" s="8" t="s">
        <v>35</v>
      </c>
      <c r="E849" s="2">
        <v>324.11</v>
      </c>
      <c r="F849" s="9" t="s">
        <v>1494</v>
      </c>
      <c r="G849" s="9">
        <v>2017</v>
      </c>
      <c r="H849" s="10" t="str">
        <f>"304.11"</f>
        <v>304.11</v>
      </c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0"/>
      <c r="AL849" s="10"/>
      <c r="AM849" s="10"/>
      <c r="AN849" s="10"/>
      <c r="AO849" s="10"/>
    </row>
    <row r="850" spans="1:41">
      <c r="A850" s="8">
        <v>848</v>
      </c>
      <c r="B850" s="8">
        <v>10125</v>
      </c>
      <c r="C850" s="8" t="s">
        <v>1036</v>
      </c>
      <c r="D850" s="8" t="s">
        <v>10</v>
      </c>
      <c r="E850" s="2" t="str">
        <f>"324.22"</f>
        <v>324.22</v>
      </c>
      <c r="F850" s="9"/>
      <c r="G850" s="9">
        <v>2017</v>
      </c>
      <c r="H850" s="10" t="str">
        <f>"374.94"</f>
        <v>374.94</v>
      </c>
      <c r="I850" s="10"/>
      <c r="J850" s="10"/>
      <c r="K850" s="10"/>
      <c r="L850" s="10"/>
      <c r="M850" s="10"/>
      <c r="N850" s="10"/>
      <c r="O850" s="10"/>
      <c r="P850" s="10"/>
      <c r="Q850" s="10" t="str">
        <f>"421.35"</f>
        <v>421.35</v>
      </c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 t="str">
        <f>"322.24"</f>
        <v>322.24</v>
      </c>
      <c r="AF850" s="10" t="str">
        <f>"380.73"</f>
        <v>380.73</v>
      </c>
      <c r="AG850" s="10"/>
      <c r="AH850" s="10"/>
      <c r="AI850" s="10"/>
      <c r="AJ850" s="10"/>
      <c r="AK850" s="10"/>
      <c r="AL850" s="10" t="str">
        <f>"326.19"</f>
        <v>326.19</v>
      </c>
      <c r="AM850" s="10"/>
      <c r="AN850" s="10"/>
      <c r="AO850" s="10"/>
    </row>
    <row r="851" spans="1:41">
      <c r="A851" s="8">
        <v>849</v>
      </c>
      <c r="B851" s="8">
        <v>11119</v>
      </c>
      <c r="C851" s="8" t="s">
        <v>1037</v>
      </c>
      <c r="D851" s="8" t="s">
        <v>82</v>
      </c>
      <c r="E851" s="2" t="str">
        <f>"324.45"</f>
        <v>324.45</v>
      </c>
      <c r="F851" s="9"/>
      <c r="G851" s="9">
        <v>2017</v>
      </c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 t="str">
        <f>"331.08"</f>
        <v>331.08</v>
      </c>
      <c r="V851" s="10"/>
      <c r="W851" s="10"/>
      <c r="X851" s="10" t="str">
        <f>"317.82"</f>
        <v>317.82</v>
      </c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  <c r="AL851" s="10"/>
      <c r="AM851" s="10"/>
      <c r="AN851" s="10"/>
      <c r="AO851" s="10"/>
    </row>
    <row r="852" spans="1:41">
      <c r="A852" s="8">
        <v>850</v>
      </c>
      <c r="B852" s="8">
        <v>10403</v>
      </c>
      <c r="C852" s="8" t="s">
        <v>1038</v>
      </c>
      <c r="D852" s="8" t="s">
        <v>19</v>
      </c>
      <c r="E852" s="2" t="str">
        <f>"325.63"</f>
        <v>325.63</v>
      </c>
      <c r="F852" s="9"/>
      <c r="G852" s="9">
        <v>2017</v>
      </c>
      <c r="H852" s="10" t="str">
        <f>"367.63"</f>
        <v>367.63</v>
      </c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 t="str">
        <f>"319.58"</f>
        <v>319.58</v>
      </c>
      <c r="AC852" s="10"/>
      <c r="AD852" s="10"/>
      <c r="AE852" s="10"/>
      <c r="AF852" s="10"/>
      <c r="AG852" s="10"/>
      <c r="AH852" s="10"/>
      <c r="AI852" s="10"/>
      <c r="AJ852" s="10"/>
      <c r="AK852" s="10"/>
      <c r="AL852" s="10"/>
      <c r="AM852" s="10"/>
      <c r="AN852" s="10" t="str">
        <f>"331.67"</f>
        <v>331.67</v>
      </c>
      <c r="AO852" s="10"/>
    </row>
    <row r="853" spans="1:41">
      <c r="A853" s="8">
        <v>851</v>
      </c>
      <c r="B853" s="8">
        <v>6692</v>
      </c>
      <c r="C853" s="8" t="s">
        <v>1039</v>
      </c>
      <c r="D853" s="8" t="s">
        <v>93</v>
      </c>
      <c r="E853" s="2" t="str">
        <f>"325.69"</f>
        <v>325.69</v>
      </c>
      <c r="F853" s="9" t="s">
        <v>9</v>
      </c>
      <c r="G853" s="9">
        <v>2017</v>
      </c>
      <c r="H853" s="10" t="str">
        <f>"307.37"</f>
        <v>307.37</v>
      </c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  <c r="AL853" s="10" t="str">
        <f>"285.69"</f>
        <v>285.69</v>
      </c>
      <c r="AM853" s="10"/>
      <c r="AN853" s="10"/>
      <c r="AO853" s="10"/>
    </row>
    <row r="854" spans="1:41">
      <c r="A854" s="8">
        <v>852</v>
      </c>
      <c r="B854" s="8">
        <v>6943</v>
      </c>
      <c r="C854" s="8" t="s">
        <v>1040</v>
      </c>
      <c r="D854" s="8" t="s">
        <v>692</v>
      </c>
      <c r="E854" s="2" t="str">
        <f>"325.98"</f>
        <v>325.98</v>
      </c>
      <c r="F854" s="9"/>
      <c r="G854" s="9">
        <v>2017</v>
      </c>
      <c r="H854" s="10" t="str">
        <f>"375.77"</f>
        <v>375.77</v>
      </c>
      <c r="I854" s="10"/>
      <c r="J854" s="10"/>
      <c r="K854" s="10"/>
      <c r="L854" s="10"/>
      <c r="M854" s="10" t="str">
        <f>"357.25"</f>
        <v>357.25</v>
      </c>
      <c r="N854" s="10"/>
      <c r="O854" s="10" t="str">
        <f>"294.71"</f>
        <v>294.71</v>
      </c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  <c r="AL854" s="10"/>
      <c r="AM854" s="10"/>
      <c r="AN854" s="10"/>
      <c r="AO854" s="10"/>
    </row>
    <row r="855" spans="1:41">
      <c r="A855" s="8">
        <v>853</v>
      </c>
      <c r="B855" s="8">
        <v>5903</v>
      </c>
      <c r="C855" s="8" t="s">
        <v>1041</v>
      </c>
      <c r="D855" s="8" t="s">
        <v>31</v>
      </c>
      <c r="E855" s="2" t="str">
        <f>"326.99"</f>
        <v>326.99</v>
      </c>
      <c r="F855" s="9" t="s">
        <v>11</v>
      </c>
      <c r="G855" s="9">
        <v>2017</v>
      </c>
      <c r="H855" s="10" t="str">
        <f>"286.99"</f>
        <v>286.99</v>
      </c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  <c r="AL855" s="10"/>
      <c r="AM855" s="10"/>
      <c r="AN855" s="10"/>
      <c r="AO855" s="10"/>
    </row>
    <row r="856" spans="1:41">
      <c r="A856" s="8">
        <v>854</v>
      </c>
      <c r="B856" s="8">
        <v>4358</v>
      </c>
      <c r="C856" s="8" t="s">
        <v>1042</v>
      </c>
      <c r="D856" s="8" t="s">
        <v>84</v>
      </c>
      <c r="E856" s="2" t="str">
        <f>"327.30"</f>
        <v>327.30</v>
      </c>
      <c r="F856" s="9" t="s">
        <v>11</v>
      </c>
      <c r="G856" s="9">
        <v>2017</v>
      </c>
      <c r="H856" s="10" t="str">
        <f>"287.30"</f>
        <v>287.30</v>
      </c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0"/>
      <c r="AL856" s="10"/>
      <c r="AM856" s="10"/>
      <c r="AN856" s="10"/>
      <c r="AO856" s="10"/>
    </row>
    <row r="857" spans="1:41">
      <c r="A857" s="8">
        <v>855</v>
      </c>
      <c r="B857" s="8">
        <v>10453</v>
      </c>
      <c r="C857" s="8" t="s">
        <v>1043</v>
      </c>
      <c r="D857" s="8" t="s">
        <v>19</v>
      </c>
      <c r="E857" s="2" t="str">
        <f>"328.10"</f>
        <v>328.10</v>
      </c>
      <c r="F857" s="9" t="s">
        <v>11</v>
      </c>
      <c r="G857" s="9">
        <v>2017</v>
      </c>
      <c r="H857" s="10" t="str">
        <f>"288.10"</f>
        <v>288.10</v>
      </c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  <c r="AL857" s="10"/>
      <c r="AM857" s="10"/>
      <c r="AN857" s="10"/>
      <c r="AO857" s="10"/>
    </row>
    <row r="858" spans="1:41">
      <c r="A858" s="8">
        <v>856</v>
      </c>
      <c r="B858" s="8">
        <v>11082</v>
      </c>
      <c r="C858" s="8" t="s">
        <v>1044</v>
      </c>
      <c r="D858" s="8" t="s">
        <v>10</v>
      </c>
      <c r="E858" s="2" t="str">
        <f>"328.40"</f>
        <v>328.40</v>
      </c>
      <c r="F858" s="9"/>
      <c r="G858" s="9">
        <v>2017</v>
      </c>
      <c r="H858" s="10"/>
      <c r="I858" s="10"/>
      <c r="J858" s="10"/>
      <c r="K858" s="10"/>
      <c r="L858" s="10"/>
      <c r="M858" s="10"/>
      <c r="N858" s="10"/>
      <c r="O858" s="10"/>
      <c r="P858" s="10"/>
      <c r="Q858" s="10" t="str">
        <f>"393.95"</f>
        <v>393.95</v>
      </c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0"/>
      <c r="AL858" s="10"/>
      <c r="AM858" s="10"/>
      <c r="AN858" s="10" t="str">
        <f>"262.85"</f>
        <v>262.85</v>
      </c>
      <c r="AO858" s="10"/>
    </row>
    <row r="859" spans="1:41">
      <c r="A859" s="8">
        <v>857</v>
      </c>
      <c r="B859" s="8">
        <v>8318</v>
      </c>
      <c r="C859" s="8" t="s">
        <v>1045</v>
      </c>
      <c r="D859" s="8" t="s">
        <v>1046</v>
      </c>
      <c r="E859" s="2" t="str">
        <f>"330.00"</f>
        <v>330.00</v>
      </c>
      <c r="F859" s="9" t="s">
        <v>9</v>
      </c>
      <c r="G859" s="9">
        <v>2017</v>
      </c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 t="str">
        <f>"290.00"</f>
        <v>290.00</v>
      </c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  <c r="AL859" s="10"/>
      <c r="AM859" s="10"/>
      <c r="AN859" s="10"/>
      <c r="AO859" s="10"/>
    </row>
    <row r="860" spans="1:41">
      <c r="A860" s="8">
        <v>858</v>
      </c>
      <c r="B860" s="8">
        <v>11348</v>
      </c>
      <c r="C860" s="8" t="s">
        <v>1047</v>
      </c>
      <c r="D860" s="8" t="s">
        <v>80</v>
      </c>
      <c r="E860" s="2" t="str">
        <f>"330.30"</f>
        <v>330.30</v>
      </c>
      <c r="F860" s="9"/>
      <c r="G860" s="9">
        <v>2017</v>
      </c>
      <c r="H860" s="10"/>
      <c r="I860" s="10"/>
      <c r="J860" s="10"/>
      <c r="K860" s="10"/>
      <c r="L860" s="10"/>
      <c r="M860" s="10"/>
      <c r="N860" s="10" t="str">
        <f>"349.02"</f>
        <v>349.02</v>
      </c>
      <c r="O860" s="10"/>
      <c r="P860" s="10" t="str">
        <f>"311.58"</f>
        <v>311.58</v>
      </c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  <c r="AL860" s="10"/>
      <c r="AM860" s="10"/>
      <c r="AN860" s="10"/>
      <c r="AO860" s="10"/>
    </row>
    <row r="861" spans="1:41">
      <c r="A861" s="8">
        <v>859</v>
      </c>
      <c r="B861" s="8">
        <v>1912</v>
      </c>
      <c r="C861" s="8" t="s">
        <v>1048</v>
      </c>
      <c r="D861" s="8" t="s">
        <v>68</v>
      </c>
      <c r="E861" s="2" t="str">
        <f>"330.60"</f>
        <v>330.60</v>
      </c>
      <c r="F861" s="9"/>
      <c r="G861" s="9">
        <v>2017</v>
      </c>
      <c r="H861" s="10" t="str">
        <f>"453.87"</f>
        <v>453.87</v>
      </c>
      <c r="I861" s="10"/>
      <c r="J861" s="10"/>
      <c r="K861" s="10"/>
      <c r="L861" s="10"/>
      <c r="M861" s="10"/>
      <c r="N861" s="10" t="str">
        <f>"374.26"</f>
        <v>374.26</v>
      </c>
      <c r="O861" s="10"/>
      <c r="P861" s="10" t="str">
        <f>"286.94"</f>
        <v>286.94</v>
      </c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  <c r="AL861" s="10"/>
      <c r="AM861" s="10"/>
      <c r="AN861" s="10"/>
      <c r="AO861" s="10"/>
    </row>
    <row r="862" spans="1:41">
      <c r="A862" s="8">
        <v>860</v>
      </c>
      <c r="B862" s="8">
        <v>10228</v>
      </c>
      <c r="C862" s="8" t="s">
        <v>1049</v>
      </c>
      <c r="D862" s="8" t="s">
        <v>50</v>
      </c>
      <c r="E862" s="2" t="str">
        <f>"330.61"</f>
        <v>330.61</v>
      </c>
      <c r="F862" s="9"/>
      <c r="G862" s="9">
        <v>2017</v>
      </c>
      <c r="H862" s="10" t="str">
        <f>"405.14"</f>
        <v>405.14</v>
      </c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 t="str">
        <f>"403.85"</f>
        <v>403.85</v>
      </c>
      <c r="V862" s="10"/>
      <c r="W862" s="10" t="str">
        <f>"257.37"</f>
        <v>257.37</v>
      </c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0"/>
      <c r="AL862" s="10"/>
      <c r="AM862" s="10"/>
      <c r="AN862" s="10"/>
      <c r="AO862" s="10"/>
    </row>
    <row r="863" spans="1:41">
      <c r="A863" s="8">
        <v>861</v>
      </c>
      <c r="B863" s="8">
        <v>10437</v>
      </c>
      <c r="C863" s="8" t="s">
        <v>1050</v>
      </c>
      <c r="D863" s="8" t="s">
        <v>19</v>
      </c>
      <c r="E863" s="2" t="str">
        <f>"330.87"</f>
        <v>330.87</v>
      </c>
      <c r="F863" s="9"/>
      <c r="G863" s="9">
        <v>2017</v>
      </c>
      <c r="H863" s="10" t="str">
        <f>"508.87"</f>
        <v>508.87</v>
      </c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 t="str">
        <f>"417.04"</f>
        <v>417.04</v>
      </c>
      <c r="AC863" s="10"/>
      <c r="AD863" s="10"/>
      <c r="AE863" s="10"/>
      <c r="AF863" s="10"/>
      <c r="AG863" s="10"/>
      <c r="AH863" s="10"/>
      <c r="AI863" s="10"/>
      <c r="AJ863" s="10"/>
      <c r="AK863" s="10"/>
      <c r="AL863" s="10"/>
      <c r="AM863" s="10" t="str">
        <f>"386.32"</f>
        <v>386.32</v>
      </c>
      <c r="AN863" s="10" t="str">
        <f>"275.42"</f>
        <v>275.42</v>
      </c>
      <c r="AO863" s="10"/>
    </row>
    <row r="864" spans="1:41">
      <c r="A864" s="8">
        <v>862</v>
      </c>
      <c r="B864" s="8">
        <v>10705</v>
      </c>
      <c r="C864" s="8" t="s">
        <v>1051</v>
      </c>
      <c r="D864" s="8" t="s">
        <v>14</v>
      </c>
      <c r="E864" s="2" t="str">
        <f>"331.36"</f>
        <v>331.36</v>
      </c>
      <c r="F864" s="9"/>
      <c r="G864" s="9">
        <v>2017</v>
      </c>
      <c r="H864" s="10" t="str">
        <f>"571.16"</f>
        <v>571.16</v>
      </c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 t="str">
        <f>"388.97"</f>
        <v>388.97</v>
      </c>
      <c r="V864" s="10"/>
      <c r="W864" s="10" t="str">
        <f>"273.74"</f>
        <v>273.74</v>
      </c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0"/>
      <c r="AL864" s="10"/>
      <c r="AM864" s="10"/>
      <c r="AN864" s="10"/>
      <c r="AO864" s="10"/>
    </row>
    <row r="865" spans="1:41">
      <c r="A865" s="8">
        <v>863</v>
      </c>
      <c r="B865" s="8">
        <v>9469</v>
      </c>
      <c r="C865" s="8" t="s">
        <v>1052</v>
      </c>
      <c r="D865" s="8" t="s">
        <v>428</v>
      </c>
      <c r="E865" s="2" t="str">
        <f>"331.76"</f>
        <v>331.76</v>
      </c>
      <c r="F865" s="9" t="s">
        <v>9</v>
      </c>
      <c r="G865" s="9">
        <v>2017</v>
      </c>
      <c r="H865" s="10" t="str">
        <f>"351.51"</f>
        <v>351.51</v>
      </c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 t="str">
        <f>"291.76"</f>
        <v>291.76</v>
      </c>
      <c r="AJ865" s="10"/>
      <c r="AK865" s="10"/>
      <c r="AL865" s="10"/>
      <c r="AM865" s="10"/>
      <c r="AN865" s="10"/>
      <c r="AO865" s="10"/>
    </row>
    <row r="866" spans="1:41">
      <c r="A866" s="8">
        <v>864</v>
      </c>
      <c r="B866" s="8">
        <v>13</v>
      </c>
      <c r="C866" s="8" t="s">
        <v>1053</v>
      </c>
      <c r="D866" s="8" t="s">
        <v>90</v>
      </c>
      <c r="E866" s="2" t="str">
        <f>"331.95"</f>
        <v>331.95</v>
      </c>
      <c r="F866" s="9" t="s">
        <v>9</v>
      </c>
      <c r="G866" s="9">
        <v>2017</v>
      </c>
      <c r="H866" s="10" t="str">
        <f>"313.73"</f>
        <v>313.73</v>
      </c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 t="str">
        <f>"291.95"</f>
        <v>291.95</v>
      </c>
      <c r="AB866" s="10"/>
      <c r="AC866" s="10"/>
      <c r="AD866" s="10"/>
      <c r="AE866" s="10"/>
      <c r="AF866" s="10"/>
      <c r="AG866" s="10"/>
      <c r="AH866" s="10"/>
      <c r="AI866" s="10"/>
      <c r="AJ866" s="10"/>
      <c r="AK866" s="10"/>
      <c r="AL866" s="10"/>
      <c r="AM866" s="10"/>
      <c r="AN866" s="10"/>
      <c r="AO866" s="10"/>
    </row>
    <row r="867" spans="1:41">
      <c r="A867" s="8">
        <v>865</v>
      </c>
      <c r="B867" s="8">
        <v>10837</v>
      </c>
      <c r="C867" s="8" t="s">
        <v>1054</v>
      </c>
      <c r="D867" s="8" t="s">
        <v>10</v>
      </c>
      <c r="E867" s="2" t="str">
        <f>"332.06"</f>
        <v>332.06</v>
      </c>
      <c r="F867" s="9"/>
      <c r="G867" s="9">
        <v>2017</v>
      </c>
      <c r="H867" s="10"/>
      <c r="I867" s="10"/>
      <c r="J867" s="10"/>
      <c r="K867" s="10"/>
      <c r="L867" s="10"/>
      <c r="M867" s="10"/>
      <c r="N867" s="10"/>
      <c r="O867" s="10"/>
      <c r="P867" s="10"/>
      <c r="Q867" s="10" t="str">
        <f>"368.45"</f>
        <v>368.45</v>
      </c>
      <c r="R867" s="10" t="str">
        <f>"426.89"</f>
        <v>426.89</v>
      </c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0"/>
      <c r="AL867" s="10"/>
      <c r="AM867" s="10"/>
      <c r="AN867" s="10" t="str">
        <f>"295.67"</f>
        <v>295.67</v>
      </c>
      <c r="AO867" s="10"/>
    </row>
    <row r="868" spans="1:41">
      <c r="A868" s="8">
        <v>866</v>
      </c>
      <c r="B868" s="8">
        <v>2175</v>
      </c>
      <c r="C868" s="8" t="s">
        <v>1055</v>
      </c>
      <c r="D868" s="8" t="s">
        <v>10</v>
      </c>
      <c r="E868" s="2" t="str">
        <f>"332.79"</f>
        <v>332.79</v>
      </c>
      <c r="F868" s="9"/>
      <c r="G868" s="9">
        <v>2017</v>
      </c>
      <c r="H868" s="10" t="str">
        <f>"352.08"</f>
        <v>352.08</v>
      </c>
      <c r="I868" s="10"/>
      <c r="J868" s="10"/>
      <c r="K868" s="10"/>
      <c r="L868" s="10"/>
      <c r="M868" s="10"/>
      <c r="N868" s="10"/>
      <c r="O868" s="10"/>
      <c r="P868" s="10"/>
      <c r="Q868" s="10" t="str">
        <f>"378.13"</f>
        <v>378.13</v>
      </c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 t="str">
        <f>"287.45"</f>
        <v>287.45</v>
      </c>
      <c r="AF868" s="10" t="str">
        <f>"384.53"</f>
        <v>384.53</v>
      </c>
      <c r="AG868" s="10"/>
      <c r="AH868" s="10"/>
      <c r="AI868" s="10"/>
      <c r="AJ868" s="10"/>
      <c r="AK868" s="10"/>
      <c r="AL868" s="10"/>
      <c r="AM868" s="10"/>
      <c r="AN868" s="10"/>
      <c r="AO868" s="10"/>
    </row>
    <row r="869" spans="1:41">
      <c r="A869" s="8">
        <v>867</v>
      </c>
      <c r="B869" s="8">
        <v>1365</v>
      </c>
      <c r="C869" s="8" t="s">
        <v>1056</v>
      </c>
      <c r="D869" s="8" t="s">
        <v>81</v>
      </c>
      <c r="E869" s="2" t="str">
        <f>"333.07"</f>
        <v>333.07</v>
      </c>
      <c r="F869" s="9"/>
      <c r="G869" s="9">
        <v>2017</v>
      </c>
      <c r="H869" s="10" t="str">
        <f>"272.27"</f>
        <v>272.27</v>
      </c>
      <c r="I869" s="10"/>
      <c r="J869" s="10"/>
      <c r="K869" s="10"/>
      <c r="L869" s="10"/>
      <c r="M869" s="10"/>
      <c r="N869" s="10" t="str">
        <f>"374.54"</f>
        <v>374.54</v>
      </c>
      <c r="O869" s="10"/>
      <c r="P869" s="10" t="str">
        <f>"291.60"</f>
        <v>291.60</v>
      </c>
      <c r="Q869" s="10"/>
      <c r="R869" s="10"/>
      <c r="S869" s="10"/>
      <c r="T869" s="10" t="str">
        <f>"452.57"</f>
        <v>452.57</v>
      </c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  <c r="AL869" s="10"/>
      <c r="AM869" s="10"/>
      <c r="AN869" s="10"/>
      <c r="AO869" s="10"/>
    </row>
    <row r="870" spans="1:41">
      <c r="A870" s="8">
        <v>868</v>
      </c>
      <c r="B870" s="8">
        <v>6671</v>
      </c>
      <c r="C870" s="8" t="s">
        <v>1057</v>
      </c>
      <c r="D870" s="8" t="s">
        <v>42</v>
      </c>
      <c r="E870" s="2" t="str">
        <f>"333.22"</f>
        <v>333.22</v>
      </c>
      <c r="F870" s="9"/>
      <c r="G870" s="9">
        <v>2017</v>
      </c>
      <c r="H870" s="10"/>
      <c r="I870" s="10"/>
      <c r="J870" s="10"/>
      <c r="K870" s="10"/>
      <c r="L870" s="10"/>
      <c r="M870" s="10"/>
      <c r="N870" s="10" t="str">
        <f>"350.94"</f>
        <v>350.94</v>
      </c>
      <c r="O870" s="10"/>
      <c r="P870" s="10" t="str">
        <f>"315.49"</f>
        <v>315.49</v>
      </c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0"/>
      <c r="AL870" s="10"/>
      <c r="AM870" s="10"/>
      <c r="AN870" s="10"/>
      <c r="AO870" s="10"/>
    </row>
    <row r="871" spans="1:41">
      <c r="A871" s="8">
        <v>869</v>
      </c>
      <c r="B871" s="8">
        <v>5511</v>
      </c>
      <c r="C871" s="8" t="s">
        <v>1058</v>
      </c>
      <c r="D871" s="8" t="s">
        <v>57</v>
      </c>
      <c r="E871" s="2" t="str">
        <f>"333.23"</f>
        <v>333.23</v>
      </c>
      <c r="F871" s="9"/>
      <c r="G871" s="9">
        <v>2017</v>
      </c>
      <c r="H871" s="10" t="str">
        <f>"598.37"</f>
        <v>598.37</v>
      </c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 t="str">
        <f>"324.35"</f>
        <v>324.35</v>
      </c>
      <c r="V871" s="10"/>
      <c r="W871" s="10"/>
      <c r="X871" s="10" t="str">
        <f>"342.10"</f>
        <v>342.10</v>
      </c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10"/>
      <c r="AL871" s="10"/>
      <c r="AM871" s="10"/>
      <c r="AN871" s="10"/>
      <c r="AO871" s="10"/>
    </row>
    <row r="872" spans="1:41">
      <c r="A872" s="8">
        <v>870</v>
      </c>
      <c r="B872" s="8">
        <v>9972</v>
      </c>
      <c r="C872" s="8" t="s">
        <v>1059</v>
      </c>
      <c r="D872" s="8" t="s">
        <v>87</v>
      </c>
      <c r="E872" s="2" t="str">
        <f>"333.43"</f>
        <v>333.43</v>
      </c>
      <c r="F872" s="9" t="s">
        <v>11</v>
      </c>
      <c r="G872" s="9">
        <v>2017</v>
      </c>
      <c r="H872" s="10" t="str">
        <f>"293.43"</f>
        <v>293.43</v>
      </c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10"/>
      <c r="AL872" s="10"/>
      <c r="AM872" s="10"/>
      <c r="AN872" s="10"/>
      <c r="AO872" s="10"/>
    </row>
    <row r="873" spans="1:41">
      <c r="A873" s="8">
        <v>871</v>
      </c>
      <c r="B873" s="8">
        <v>10115</v>
      </c>
      <c r="C873" s="8" t="s">
        <v>1060</v>
      </c>
      <c r="D873" s="8" t="s">
        <v>10</v>
      </c>
      <c r="E873" s="2" t="str">
        <f>"333.60"</f>
        <v>333.60</v>
      </c>
      <c r="F873" s="9"/>
      <c r="G873" s="9">
        <v>2017</v>
      </c>
      <c r="H873" s="10" t="str">
        <f>"286.64"</f>
        <v>286.64</v>
      </c>
      <c r="I873" s="10"/>
      <c r="J873" s="10"/>
      <c r="K873" s="10"/>
      <c r="L873" s="10"/>
      <c r="M873" s="10"/>
      <c r="N873" s="10"/>
      <c r="O873" s="10"/>
      <c r="P873" s="10"/>
      <c r="Q873" s="10" t="str">
        <f>"301.22"</f>
        <v>301.22</v>
      </c>
      <c r="R873" s="10" t="str">
        <f>"365.98"</f>
        <v>365.98</v>
      </c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  <c r="AL873" s="10"/>
      <c r="AM873" s="10"/>
      <c r="AN873" s="10"/>
      <c r="AO873" s="10"/>
    </row>
    <row r="874" spans="1:41">
      <c r="A874" s="8">
        <v>872</v>
      </c>
      <c r="B874" s="8">
        <v>11008</v>
      </c>
      <c r="C874" s="8" t="s">
        <v>1061</v>
      </c>
      <c r="D874" s="8" t="s">
        <v>102</v>
      </c>
      <c r="E874" s="2" t="str">
        <f>"334.25"</f>
        <v>334.25</v>
      </c>
      <c r="F874" s="9"/>
      <c r="G874" s="9">
        <v>2017</v>
      </c>
      <c r="H874" s="10" t="str">
        <f>"309.98"</f>
        <v>309.98</v>
      </c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 t="str">
        <f>"526.72"</f>
        <v>526.72</v>
      </c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 t="str">
        <f>"141.77"</f>
        <v>141.77</v>
      </c>
      <c r="AK874" s="10"/>
      <c r="AL874" s="10"/>
      <c r="AM874" s="10"/>
      <c r="AN874" s="10"/>
      <c r="AO874" s="10"/>
    </row>
    <row r="875" spans="1:41">
      <c r="A875" s="8">
        <v>873</v>
      </c>
      <c r="B875" s="8">
        <v>11222</v>
      </c>
      <c r="C875" s="8" t="s">
        <v>1062</v>
      </c>
      <c r="D875" s="8" t="s">
        <v>19</v>
      </c>
      <c r="E875" s="2" t="str">
        <f>"335.44"</f>
        <v>335.44</v>
      </c>
      <c r="F875" s="9" t="s">
        <v>9</v>
      </c>
      <c r="G875" s="9">
        <v>2017</v>
      </c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 t="str">
        <f>"295.44"</f>
        <v>295.44</v>
      </c>
      <c r="AC875" s="10"/>
      <c r="AD875" s="10"/>
      <c r="AE875" s="10"/>
      <c r="AF875" s="10"/>
      <c r="AG875" s="10"/>
      <c r="AH875" s="10"/>
      <c r="AI875" s="10"/>
      <c r="AJ875" s="10"/>
      <c r="AK875" s="10"/>
      <c r="AL875" s="10"/>
      <c r="AM875" s="10"/>
      <c r="AN875" s="10"/>
      <c r="AO875" s="10"/>
    </row>
    <row r="876" spans="1:41">
      <c r="A876" s="8">
        <v>874</v>
      </c>
      <c r="B876" s="8">
        <v>6392</v>
      </c>
      <c r="C876" s="8" t="s">
        <v>1063</v>
      </c>
      <c r="D876" s="8" t="s">
        <v>17</v>
      </c>
      <c r="E876" s="2" t="str">
        <f>"335.51"</f>
        <v>335.51</v>
      </c>
      <c r="F876" s="9" t="s">
        <v>9</v>
      </c>
      <c r="G876" s="9">
        <v>2017</v>
      </c>
      <c r="H876" s="10" t="str">
        <f>"212.84"</f>
        <v>212.84</v>
      </c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 t="str">
        <f>"295.51"</f>
        <v>295.51</v>
      </c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10"/>
      <c r="AL876" s="10"/>
      <c r="AM876" s="10"/>
      <c r="AN876" s="10"/>
      <c r="AO876" s="10"/>
    </row>
    <row r="877" spans="1:41">
      <c r="A877" s="8">
        <v>875</v>
      </c>
      <c r="B877" s="8">
        <v>10576</v>
      </c>
      <c r="C877" s="8" t="s">
        <v>1064</v>
      </c>
      <c r="D877" s="8" t="s">
        <v>10</v>
      </c>
      <c r="E877" s="2" t="str">
        <f>"336.01"</f>
        <v>336.01</v>
      </c>
      <c r="F877" s="9" t="s">
        <v>11</v>
      </c>
      <c r="G877" s="9">
        <v>2017</v>
      </c>
      <c r="H877" s="10" t="str">
        <f>"296.01"</f>
        <v>296.01</v>
      </c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  <c r="AL877" s="10"/>
      <c r="AM877" s="10"/>
      <c r="AN877" s="10"/>
      <c r="AO877" s="10"/>
    </row>
    <row r="878" spans="1:41">
      <c r="A878" s="8">
        <v>876</v>
      </c>
      <c r="B878" s="8">
        <v>5746</v>
      </c>
      <c r="C878" s="8" t="s">
        <v>1065</v>
      </c>
      <c r="D878" s="8" t="s">
        <v>189</v>
      </c>
      <c r="E878" s="2" t="str">
        <f>"336.49"</f>
        <v>336.49</v>
      </c>
      <c r="F878" s="9"/>
      <c r="G878" s="9">
        <v>2017</v>
      </c>
      <c r="H878" s="10" t="str">
        <f>"310.20"</f>
        <v>310.20</v>
      </c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 t="str">
        <f>"473.43"</f>
        <v>473.43</v>
      </c>
      <c r="U878" s="10"/>
      <c r="V878" s="10"/>
      <c r="W878" s="10"/>
      <c r="X878" s="10"/>
      <c r="Y878" s="10"/>
      <c r="Z878" s="10"/>
      <c r="AA878" s="10" t="str">
        <f>"348.71"</f>
        <v>348.71</v>
      </c>
      <c r="AB878" s="10"/>
      <c r="AC878" s="10"/>
      <c r="AD878" s="10"/>
      <c r="AE878" s="10"/>
      <c r="AF878" s="10"/>
      <c r="AG878" s="10"/>
      <c r="AH878" s="10"/>
      <c r="AI878" s="10"/>
      <c r="AJ878" s="10"/>
      <c r="AK878" s="10" t="str">
        <f>"324.26"</f>
        <v>324.26</v>
      </c>
      <c r="AL878" s="10"/>
      <c r="AM878" s="10"/>
      <c r="AN878" s="10"/>
      <c r="AO878" s="10"/>
    </row>
    <row r="879" spans="1:41">
      <c r="A879" s="8">
        <v>877</v>
      </c>
      <c r="B879" s="8">
        <v>5817</v>
      </c>
      <c r="C879" s="8" t="s">
        <v>1066</v>
      </c>
      <c r="D879" s="8" t="s">
        <v>21</v>
      </c>
      <c r="E879" s="2" t="str">
        <f>"337.30"</f>
        <v>337.30</v>
      </c>
      <c r="F879" s="9" t="s">
        <v>9</v>
      </c>
      <c r="G879" s="9">
        <v>2017</v>
      </c>
      <c r="H879" s="10" t="str">
        <f>"380.37"</f>
        <v>380.37</v>
      </c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 t="str">
        <f>"297.30"</f>
        <v>297.30</v>
      </c>
      <c r="AJ879" s="10"/>
      <c r="AK879" s="10"/>
      <c r="AL879" s="10"/>
      <c r="AM879" s="10"/>
      <c r="AN879" s="10"/>
      <c r="AO879" s="10"/>
    </row>
    <row r="880" spans="1:41">
      <c r="A880" s="8">
        <v>878</v>
      </c>
      <c r="B880" s="8">
        <v>10886</v>
      </c>
      <c r="C880" s="8" t="s">
        <v>1067</v>
      </c>
      <c r="D880" s="8" t="s">
        <v>10</v>
      </c>
      <c r="E880" s="2" t="str">
        <f>"337.94"</f>
        <v>337.94</v>
      </c>
      <c r="F880" s="9"/>
      <c r="G880" s="9">
        <v>2017</v>
      </c>
      <c r="H880" s="10" t="str">
        <f>"600.06"</f>
        <v>600.06</v>
      </c>
      <c r="I880" s="10"/>
      <c r="J880" s="10"/>
      <c r="K880" s="10"/>
      <c r="L880" s="10"/>
      <c r="M880" s="10"/>
      <c r="N880" s="10"/>
      <c r="O880" s="10"/>
      <c r="P880" s="10"/>
      <c r="Q880" s="10" t="str">
        <f>"391.63"</f>
        <v>391.63</v>
      </c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 t="str">
        <f>"380.06"</f>
        <v>380.06</v>
      </c>
      <c r="AF880" s="10"/>
      <c r="AG880" s="10"/>
      <c r="AH880" s="10"/>
      <c r="AI880" s="10"/>
      <c r="AJ880" s="10"/>
      <c r="AK880" s="10"/>
      <c r="AL880" s="10"/>
      <c r="AM880" s="10"/>
      <c r="AN880" s="10" t="str">
        <f>"295.81"</f>
        <v>295.81</v>
      </c>
      <c r="AO880" s="10"/>
    </row>
    <row r="881" spans="1:41">
      <c r="A881" s="8">
        <v>879</v>
      </c>
      <c r="B881" s="8">
        <v>10118</v>
      </c>
      <c r="C881" s="8" t="s">
        <v>1068</v>
      </c>
      <c r="D881" s="8" t="s">
        <v>10</v>
      </c>
      <c r="E881" s="2" t="str">
        <f>"338.10"</f>
        <v>338.10</v>
      </c>
      <c r="F881" s="9"/>
      <c r="G881" s="9">
        <v>2017</v>
      </c>
      <c r="H881" s="10" t="str">
        <f>"503.96"</f>
        <v>503.96</v>
      </c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 t="str">
        <f>"317.47"</f>
        <v>317.47</v>
      </c>
      <c r="AF881" s="10" t="str">
        <f>"358.72"</f>
        <v>358.72</v>
      </c>
      <c r="AG881" s="10"/>
      <c r="AH881" s="10"/>
      <c r="AI881" s="10"/>
      <c r="AJ881" s="10"/>
      <c r="AK881" s="10"/>
      <c r="AL881" s="10"/>
      <c r="AM881" s="10"/>
      <c r="AN881" s="10"/>
      <c r="AO881" s="10"/>
    </row>
    <row r="882" spans="1:41">
      <c r="A882" s="8">
        <v>880</v>
      </c>
      <c r="B882" s="8">
        <v>11255</v>
      </c>
      <c r="C882" s="8" t="s">
        <v>1069</v>
      </c>
      <c r="D882" s="8" t="s">
        <v>10</v>
      </c>
      <c r="E882" s="2" t="str">
        <f>"338.72"</f>
        <v>338.72</v>
      </c>
      <c r="F882" s="9" t="s">
        <v>9</v>
      </c>
      <c r="G882" s="9">
        <v>2017</v>
      </c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  <c r="AK882" s="10"/>
      <c r="AL882" s="10"/>
      <c r="AM882" s="10"/>
      <c r="AN882" s="10" t="str">
        <f>"298.72"</f>
        <v>298.72</v>
      </c>
      <c r="AO882" s="10"/>
    </row>
    <row r="883" spans="1:41">
      <c r="A883" s="8">
        <v>881</v>
      </c>
      <c r="B883" s="8">
        <v>4143</v>
      </c>
      <c r="C883" s="8" t="s">
        <v>1070</v>
      </c>
      <c r="D883" s="8" t="s">
        <v>22</v>
      </c>
      <c r="E883" s="2" t="str">
        <f>"338.83"</f>
        <v>338.83</v>
      </c>
      <c r="F883" s="9"/>
      <c r="G883" s="9">
        <v>2017</v>
      </c>
      <c r="H883" s="10" t="str">
        <f>"422.41"</f>
        <v>422.41</v>
      </c>
      <c r="I883" s="10"/>
      <c r="J883" s="10"/>
      <c r="K883" s="10"/>
      <c r="L883" s="10"/>
      <c r="M883" s="10"/>
      <c r="N883" s="10" t="str">
        <f>"358.35"</f>
        <v>358.35</v>
      </c>
      <c r="O883" s="10"/>
      <c r="P883" s="10" t="str">
        <f>"341.47"</f>
        <v>341.47</v>
      </c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 t="str">
        <f>"336.18"</f>
        <v>336.18</v>
      </c>
      <c r="AB883" s="10"/>
      <c r="AC883" s="10"/>
      <c r="AD883" s="10"/>
      <c r="AE883" s="10"/>
      <c r="AF883" s="10"/>
      <c r="AG883" s="10"/>
      <c r="AH883" s="10"/>
      <c r="AI883" s="10"/>
      <c r="AJ883" s="10"/>
      <c r="AK883" s="10"/>
      <c r="AL883" s="10"/>
      <c r="AM883" s="10"/>
      <c r="AN883" s="10"/>
      <c r="AO883" s="10"/>
    </row>
    <row r="884" spans="1:41">
      <c r="A884" s="8">
        <v>882</v>
      </c>
      <c r="B884" s="8">
        <v>10907</v>
      </c>
      <c r="C884" s="8" t="s">
        <v>1071</v>
      </c>
      <c r="D884" s="8" t="s">
        <v>10</v>
      </c>
      <c r="E884" s="2" t="str">
        <f>"339.48"</f>
        <v>339.48</v>
      </c>
      <c r="F884" s="9"/>
      <c r="G884" s="9">
        <v>2017</v>
      </c>
      <c r="H884" s="10" t="str">
        <f>"487.16"</f>
        <v>487.16</v>
      </c>
      <c r="I884" s="10"/>
      <c r="J884" s="10"/>
      <c r="K884" s="10"/>
      <c r="L884" s="10"/>
      <c r="M884" s="10"/>
      <c r="N884" s="10"/>
      <c r="O884" s="10"/>
      <c r="P884" s="10"/>
      <c r="Q884" s="10" t="str">
        <f>"361.08"</f>
        <v>361.08</v>
      </c>
      <c r="R884" s="10" t="str">
        <f>"449.84"</f>
        <v>449.84</v>
      </c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 t="str">
        <f>"317.88"</f>
        <v>317.88</v>
      </c>
      <c r="AF884" s="10"/>
      <c r="AG884" s="10"/>
      <c r="AH884" s="10"/>
      <c r="AI884" s="10"/>
      <c r="AJ884" s="10"/>
      <c r="AK884" s="10"/>
      <c r="AL884" s="10"/>
      <c r="AM884" s="10"/>
      <c r="AN884" s="10"/>
      <c r="AO884" s="10"/>
    </row>
    <row r="885" spans="1:41">
      <c r="A885" s="8">
        <v>883</v>
      </c>
      <c r="B885" s="8">
        <v>11284</v>
      </c>
      <c r="C885" s="8" t="s">
        <v>1072</v>
      </c>
      <c r="D885" s="8" t="s">
        <v>10</v>
      </c>
      <c r="E885" s="2" t="str">
        <f>"339.64"</f>
        <v>339.64</v>
      </c>
      <c r="F885" s="9" t="s">
        <v>9</v>
      </c>
      <c r="G885" s="9">
        <v>2017</v>
      </c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10"/>
      <c r="AL885" s="10"/>
      <c r="AM885" s="10"/>
      <c r="AN885" s="10" t="str">
        <f>"299.64"</f>
        <v>299.64</v>
      </c>
      <c r="AO885" s="10"/>
    </row>
    <row r="886" spans="1:41">
      <c r="A886" s="8">
        <v>884</v>
      </c>
      <c r="B886" s="8">
        <v>5071</v>
      </c>
      <c r="C886" s="8" t="s">
        <v>1073</v>
      </c>
      <c r="D886" s="8" t="s">
        <v>31</v>
      </c>
      <c r="E886" s="2" t="str">
        <f>"339.92"</f>
        <v>339.92</v>
      </c>
      <c r="F886" s="9"/>
      <c r="G886" s="9">
        <v>2017</v>
      </c>
      <c r="H886" s="10" t="str">
        <f>"371.89"</f>
        <v>371.89</v>
      </c>
      <c r="I886" s="10"/>
      <c r="J886" s="10"/>
      <c r="K886" s="10"/>
      <c r="L886" s="10"/>
      <c r="M886" s="10"/>
      <c r="N886" s="10" t="str">
        <f>"401.29"</f>
        <v>401.29</v>
      </c>
      <c r="O886" s="10"/>
      <c r="P886" s="10" t="str">
        <f>"370.16"</f>
        <v>370.16</v>
      </c>
      <c r="Q886" s="10"/>
      <c r="R886" s="10"/>
      <c r="S886" s="10"/>
      <c r="T886" s="10" t="str">
        <f>"424.79"</f>
        <v>424.79</v>
      </c>
      <c r="U886" s="10"/>
      <c r="V886" s="10"/>
      <c r="W886" s="10"/>
      <c r="X886" s="10"/>
      <c r="Y886" s="10"/>
      <c r="Z886" s="10"/>
      <c r="AA886" s="10" t="str">
        <f>"341.65"</f>
        <v>341.65</v>
      </c>
      <c r="AB886" s="10"/>
      <c r="AC886" s="10"/>
      <c r="AD886" s="10"/>
      <c r="AE886" s="10"/>
      <c r="AF886" s="10"/>
      <c r="AG886" s="10"/>
      <c r="AH886" s="10"/>
      <c r="AI886" s="10"/>
      <c r="AJ886" s="10"/>
      <c r="AK886" s="10" t="str">
        <f>"338.19"</f>
        <v>338.19</v>
      </c>
      <c r="AL886" s="10"/>
      <c r="AM886" s="10"/>
      <c r="AN886" s="10"/>
      <c r="AO886" s="10"/>
    </row>
    <row r="887" spans="1:41">
      <c r="A887" s="8">
        <v>885</v>
      </c>
      <c r="B887" s="8">
        <v>809</v>
      </c>
      <c r="C887" s="8" t="s">
        <v>1074</v>
      </c>
      <c r="D887" s="8" t="s">
        <v>85</v>
      </c>
      <c r="E887" s="2" t="str">
        <f>"340.30"</f>
        <v>340.30</v>
      </c>
      <c r="F887" s="9" t="s">
        <v>11</v>
      </c>
      <c r="G887" s="9">
        <v>2017</v>
      </c>
      <c r="H887" s="10" t="str">
        <f>"300.30"</f>
        <v>300.30</v>
      </c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  <c r="AJ887" s="10"/>
      <c r="AK887" s="10"/>
      <c r="AL887" s="10"/>
      <c r="AM887" s="10"/>
      <c r="AN887" s="10"/>
      <c r="AO887" s="10"/>
    </row>
    <row r="888" spans="1:41">
      <c r="A888" s="8">
        <v>886</v>
      </c>
      <c r="B888" s="8">
        <v>8333</v>
      </c>
      <c r="C888" s="8" t="s">
        <v>1075</v>
      </c>
      <c r="D888" s="8" t="s">
        <v>12</v>
      </c>
      <c r="E888" s="2" t="str">
        <f>"340.86"</f>
        <v>340.86</v>
      </c>
      <c r="F888" s="9"/>
      <c r="G888" s="9">
        <v>2017</v>
      </c>
      <c r="H888" s="10" t="str">
        <f>"310.99"</f>
        <v>310.99</v>
      </c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 t="str">
        <f>"353.92"</f>
        <v>353.92</v>
      </c>
      <c r="V888" s="10"/>
      <c r="W888" s="10"/>
      <c r="X888" s="10" t="str">
        <f>"327.79"</f>
        <v>327.79</v>
      </c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0"/>
      <c r="AJ888" s="10"/>
      <c r="AK888" s="10"/>
      <c r="AL888" s="10"/>
      <c r="AM888" s="10"/>
      <c r="AN888" s="10"/>
      <c r="AO888" s="10"/>
    </row>
    <row r="889" spans="1:41">
      <c r="A889" s="8">
        <v>887</v>
      </c>
      <c r="B889" s="8">
        <v>6707</v>
      </c>
      <c r="C889" s="8" t="s">
        <v>1076</v>
      </c>
      <c r="D889" s="8" t="s">
        <v>60</v>
      </c>
      <c r="E889" s="2" t="str">
        <f>"341.39"</f>
        <v>341.39</v>
      </c>
      <c r="F889" s="9" t="s">
        <v>9</v>
      </c>
      <c r="G889" s="9">
        <v>2017</v>
      </c>
      <c r="H889" s="10" t="str">
        <f>"331.17"</f>
        <v>331.17</v>
      </c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  <c r="AK889" s="10" t="str">
        <f>"301.39"</f>
        <v>301.39</v>
      </c>
      <c r="AL889" s="10"/>
      <c r="AM889" s="10"/>
      <c r="AN889" s="10"/>
      <c r="AO889" s="10"/>
    </row>
    <row r="890" spans="1:41">
      <c r="A890" s="8">
        <v>888</v>
      </c>
      <c r="B890" s="8">
        <v>2505</v>
      </c>
      <c r="C890" s="8" t="s">
        <v>1077</v>
      </c>
      <c r="D890" s="8" t="s">
        <v>89</v>
      </c>
      <c r="E890" s="2" t="str">
        <f>"341.55"</f>
        <v>341.55</v>
      </c>
      <c r="F890" s="9" t="s">
        <v>11</v>
      </c>
      <c r="G890" s="9">
        <v>2017</v>
      </c>
      <c r="H890" s="10" t="str">
        <f>"301.55"</f>
        <v>301.55</v>
      </c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  <c r="AJ890" s="10"/>
      <c r="AK890" s="10"/>
      <c r="AL890" s="10"/>
      <c r="AM890" s="10"/>
      <c r="AN890" s="10"/>
      <c r="AO890" s="10"/>
    </row>
    <row r="891" spans="1:41">
      <c r="A891" s="8">
        <v>889</v>
      </c>
      <c r="B891" s="8">
        <v>11264</v>
      </c>
      <c r="C891" s="8" t="s">
        <v>1078</v>
      </c>
      <c r="D891" s="8" t="s">
        <v>10</v>
      </c>
      <c r="E891" s="2" t="str">
        <f>"341.68"</f>
        <v>341.68</v>
      </c>
      <c r="F891" s="9"/>
      <c r="G891" s="9">
        <v>2017</v>
      </c>
      <c r="H891" s="10"/>
      <c r="I891" s="10"/>
      <c r="J891" s="10"/>
      <c r="K891" s="10"/>
      <c r="L891" s="10"/>
      <c r="M891" s="10"/>
      <c r="N891" s="10"/>
      <c r="O891" s="10"/>
      <c r="P891" s="10"/>
      <c r="Q891" s="10" t="str">
        <f>"518.71"</f>
        <v>518.71</v>
      </c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 t="str">
        <f>"335.93"</f>
        <v>335.93</v>
      </c>
      <c r="AF891" s="10"/>
      <c r="AG891" s="10"/>
      <c r="AH891" s="10"/>
      <c r="AI891" s="10"/>
      <c r="AJ891" s="10"/>
      <c r="AK891" s="10"/>
      <c r="AL891" s="10"/>
      <c r="AM891" s="10"/>
      <c r="AN891" s="10" t="str">
        <f>"347.42"</f>
        <v>347.42</v>
      </c>
      <c r="AO891" s="10"/>
    </row>
    <row r="892" spans="1:41">
      <c r="A892" s="8">
        <v>890</v>
      </c>
      <c r="B892" s="8">
        <v>10865</v>
      </c>
      <c r="C892" s="8" t="s">
        <v>1079</v>
      </c>
      <c r="D892" s="8" t="s">
        <v>10</v>
      </c>
      <c r="E892" s="2" t="str">
        <f>"342.07"</f>
        <v>342.07</v>
      </c>
      <c r="F892" s="9"/>
      <c r="G892" s="9">
        <v>2017</v>
      </c>
      <c r="H892" s="10" t="str">
        <f>"563.81"</f>
        <v>563.81</v>
      </c>
      <c r="I892" s="10"/>
      <c r="J892" s="10"/>
      <c r="K892" s="10"/>
      <c r="L892" s="10"/>
      <c r="M892" s="10"/>
      <c r="N892" s="10"/>
      <c r="O892" s="10"/>
      <c r="P892" s="10"/>
      <c r="Q892" s="10" t="str">
        <f>"533.71"</f>
        <v>533.71</v>
      </c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  <c r="AE892" s="10" t="str">
        <f>"359.47"</f>
        <v>359.47</v>
      </c>
      <c r="AF892" s="10"/>
      <c r="AG892" s="10"/>
      <c r="AH892" s="10"/>
      <c r="AI892" s="10"/>
      <c r="AJ892" s="10"/>
      <c r="AK892" s="10"/>
      <c r="AL892" s="10"/>
      <c r="AM892" s="10"/>
      <c r="AN892" s="10" t="str">
        <f>"324.66"</f>
        <v>324.66</v>
      </c>
      <c r="AO892" s="10"/>
    </row>
    <row r="893" spans="1:41">
      <c r="A893" s="8">
        <v>891</v>
      </c>
      <c r="B893" s="8">
        <v>2283</v>
      </c>
      <c r="C893" s="8" t="s">
        <v>1080</v>
      </c>
      <c r="D893" s="8" t="s">
        <v>10</v>
      </c>
      <c r="E893" s="2" t="str">
        <f>"342.53"</f>
        <v>342.53</v>
      </c>
      <c r="F893" s="9"/>
      <c r="G893" s="9">
        <v>2017</v>
      </c>
      <c r="H893" s="10" t="str">
        <f>"335.68"</f>
        <v>335.68</v>
      </c>
      <c r="I893" s="10"/>
      <c r="J893" s="10"/>
      <c r="K893" s="10"/>
      <c r="L893" s="10"/>
      <c r="M893" s="10"/>
      <c r="N893" s="10"/>
      <c r="O893" s="10"/>
      <c r="P893" s="10"/>
      <c r="Q893" s="10" t="str">
        <f>"326.45"</f>
        <v>326.45</v>
      </c>
      <c r="R893" s="10" t="str">
        <f>"358.61"</f>
        <v>358.61</v>
      </c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  <c r="AJ893" s="10"/>
      <c r="AK893" s="10"/>
      <c r="AL893" s="10"/>
      <c r="AM893" s="10"/>
      <c r="AN893" s="10"/>
      <c r="AO893" s="10"/>
    </row>
    <row r="894" spans="1:41">
      <c r="A894" s="8">
        <v>892</v>
      </c>
      <c r="B894" s="8">
        <v>4017</v>
      </c>
      <c r="C894" s="8" t="s">
        <v>1081</v>
      </c>
      <c r="D894" s="8" t="s">
        <v>12</v>
      </c>
      <c r="E894" s="2" t="str">
        <f>"342.90"</f>
        <v>342.90</v>
      </c>
      <c r="F894" s="9" t="s">
        <v>11</v>
      </c>
      <c r="G894" s="9">
        <v>2017</v>
      </c>
      <c r="H894" s="10" t="str">
        <f>"302.90"</f>
        <v>302.90</v>
      </c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  <c r="AJ894" s="10"/>
      <c r="AK894" s="10"/>
      <c r="AL894" s="10"/>
      <c r="AM894" s="10"/>
      <c r="AN894" s="10"/>
      <c r="AO894" s="10"/>
    </row>
    <row r="895" spans="1:41">
      <c r="A895" s="8">
        <v>893</v>
      </c>
      <c r="B895" s="8">
        <v>3269</v>
      </c>
      <c r="C895" s="8" t="s">
        <v>1082</v>
      </c>
      <c r="D895" s="8" t="s">
        <v>48</v>
      </c>
      <c r="E895" s="2" t="str">
        <f>"343.02"</f>
        <v>343.02</v>
      </c>
      <c r="F895" s="9" t="s">
        <v>9</v>
      </c>
      <c r="G895" s="9">
        <v>2017</v>
      </c>
      <c r="H895" s="10" t="str">
        <f>"365.52"</f>
        <v>365.52</v>
      </c>
      <c r="I895" s="10"/>
      <c r="J895" s="10"/>
      <c r="K895" s="10"/>
      <c r="L895" s="10"/>
      <c r="M895" s="10"/>
      <c r="N895" s="10"/>
      <c r="O895" s="10"/>
      <c r="P895" s="10" t="str">
        <f>"303.02"</f>
        <v>303.02</v>
      </c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  <c r="AK895" s="10"/>
      <c r="AL895" s="10"/>
      <c r="AM895" s="10"/>
      <c r="AN895" s="10"/>
      <c r="AO895" s="10"/>
    </row>
    <row r="896" spans="1:41">
      <c r="A896" s="8">
        <v>894</v>
      </c>
      <c r="B896" s="8">
        <v>6590</v>
      </c>
      <c r="C896" s="8" t="s">
        <v>1083</v>
      </c>
      <c r="D896" s="8" t="s">
        <v>14</v>
      </c>
      <c r="E896" s="2" t="str">
        <f>"343.54"</f>
        <v>343.54</v>
      </c>
      <c r="F896" s="9" t="s">
        <v>11</v>
      </c>
      <c r="G896" s="9">
        <v>2017</v>
      </c>
      <c r="H896" s="10" t="str">
        <f>"303.54"</f>
        <v>303.54</v>
      </c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  <c r="AJ896" s="10"/>
      <c r="AK896" s="10"/>
      <c r="AL896" s="10"/>
      <c r="AM896" s="10"/>
      <c r="AN896" s="10"/>
      <c r="AO896" s="10"/>
    </row>
    <row r="897" spans="1:41">
      <c r="A897" s="8">
        <v>895</v>
      </c>
      <c r="B897" s="8">
        <v>4114</v>
      </c>
      <c r="C897" s="8" t="s">
        <v>1084</v>
      </c>
      <c r="D897" s="8" t="s">
        <v>76</v>
      </c>
      <c r="E897" s="2" t="str">
        <f>"343.69"</f>
        <v>343.69</v>
      </c>
      <c r="F897" s="9" t="s">
        <v>9</v>
      </c>
      <c r="G897" s="9">
        <v>2017</v>
      </c>
      <c r="H897" s="10" t="str">
        <f>"340.77"</f>
        <v>340.77</v>
      </c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 t="str">
        <f>"303.69"</f>
        <v>303.69</v>
      </c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  <c r="AK897" s="10"/>
      <c r="AL897" s="10"/>
      <c r="AM897" s="10"/>
      <c r="AN897" s="10"/>
      <c r="AO897" s="10"/>
    </row>
    <row r="898" spans="1:41">
      <c r="A898" s="8">
        <v>896</v>
      </c>
      <c r="B898" s="8">
        <v>10967</v>
      </c>
      <c r="C898" s="8" t="s">
        <v>1085</v>
      </c>
      <c r="D898" s="8" t="s">
        <v>14</v>
      </c>
      <c r="E898" s="2" t="str">
        <f>"344.00"</f>
        <v>344.00</v>
      </c>
      <c r="F898" s="9"/>
      <c r="G898" s="9">
        <v>2017</v>
      </c>
      <c r="H898" s="10" t="str">
        <f>"533.29"</f>
        <v>533.29</v>
      </c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 t="str">
        <f>"415.00"</f>
        <v>415.00</v>
      </c>
      <c r="V898" s="10"/>
      <c r="W898" s="10" t="str">
        <f>"273.00"</f>
        <v>273.00</v>
      </c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  <c r="AJ898" s="10"/>
      <c r="AK898" s="10"/>
      <c r="AL898" s="10"/>
      <c r="AM898" s="10"/>
      <c r="AN898" s="10"/>
      <c r="AO898" s="10"/>
    </row>
    <row r="899" spans="1:41">
      <c r="A899" s="8">
        <v>897</v>
      </c>
      <c r="B899" s="8">
        <v>10372</v>
      </c>
      <c r="C899" s="8" t="s">
        <v>1087</v>
      </c>
      <c r="D899" s="8" t="s">
        <v>83</v>
      </c>
      <c r="E899" s="2" t="str">
        <f>"344.33"</f>
        <v>344.33</v>
      </c>
      <c r="F899" s="9" t="s">
        <v>11</v>
      </c>
      <c r="G899" s="9">
        <v>2017</v>
      </c>
      <c r="H899" s="10" t="str">
        <f>"304.33"</f>
        <v>304.33</v>
      </c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  <c r="AK899" s="10"/>
      <c r="AL899" s="10"/>
      <c r="AM899" s="10"/>
      <c r="AN899" s="10"/>
      <c r="AO899" s="10"/>
    </row>
    <row r="900" spans="1:41">
      <c r="A900" s="8">
        <v>898</v>
      </c>
      <c r="B900" s="8">
        <v>11116</v>
      </c>
      <c r="C900" s="8" t="s">
        <v>1088</v>
      </c>
      <c r="D900" s="8" t="s">
        <v>14</v>
      </c>
      <c r="E900" s="2" t="str">
        <f>"344.44"</f>
        <v>344.44</v>
      </c>
      <c r="F900" s="9" t="s">
        <v>9</v>
      </c>
      <c r="G900" s="9">
        <v>2017</v>
      </c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  <c r="AJ900" s="10"/>
      <c r="AK900" s="10"/>
      <c r="AL900" s="10" t="str">
        <f>"304.44"</f>
        <v>304.44</v>
      </c>
      <c r="AM900" s="10"/>
      <c r="AN900" s="10"/>
      <c r="AO900" s="10"/>
    </row>
    <row r="901" spans="1:41">
      <c r="A901" s="8">
        <v>899</v>
      </c>
      <c r="B901" s="8">
        <v>4386</v>
      </c>
      <c r="C901" s="8" t="s">
        <v>1089</v>
      </c>
      <c r="D901" s="8" t="s">
        <v>653</v>
      </c>
      <c r="E901" s="2" t="str">
        <f>"345.27"</f>
        <v>345.27</v>
      </c>
      <c r="F901" s="9"/>
      <c r="G901" s="9">
        <v>2017</v>
      </c>
      <c r="H901" s="10" t="str">
        <f>"304.51"</f>
        <v>304.51</v>
      </c>
      <c r="I901" s="10"/>
      <c r="J901" s="10"/>
      <c r="K901" s="10"/>
      <c r="L901" s="10"/>
      <c r="M901" s="10"/>
      <c r="N901" s="10" t="str">
        <f>"337.49"</f>
        <v>337.49</v>
      </c>
      <c r="O901" s="10"/>
      <c r="P901" s="10" t="str">
        <f>"353.04"</f>
        <v>353.04</v>
      </c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  <c r="AK901" s="10"/>
      <c r="AL901" s="10"/>
      <c r="AM901" s="10"/>
      <c r="AN901" s="10"/>
      <c r="AO901" s="10"/>
    </row>
    <row r="902" spans="1:41">
      <c r="A902" s="8">
        <v>900</v>
      </c>
      <c r="B902" s="8">
        <v>10835</v>
      </c>
      <c r="C902" s="8" t="s">
        <v>1090</v>
      </c>
      <c r="D902" s="8" t="s">
        <v>10</v>
      </c>
      <c r="E902" s="2" t="str">
        <f>"345.94"</f>
        <v>345.94</v>
      </c>
      <c r="F902" s="9"/>
      <c r="G902" s="9">
        <v>2017</v>
      </c>
      <c r="H902" s="10" t="str">
        <f>"297.98"</f>
        <v>297.98</v>
      </c>
      <c r="I902" s="10"/>
      <c r="J902" s="10"/>
      <c r="K902" s="10"/>
      <c r="L902" s="10"/>
      <c r="M902" s="10"/>
      <c r="N902" s="10"/>
      <c r="O902" s="10"/>
      <c r="P902" s="10"/>
      <c r="Q902" s="10" t="str">
        <f>"313.36"</f>
        <v>313.36</v>
      </c>
      <c r="R902" s="10" t="str">
        <f>"378.52"</f>
        <v>378.52</v>
      </c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  <c r="AJ902" s="10"/>
      <c r="AK902" s="10"/>
      <c r="AL902" s="10"/>
      <c r="AM902" s="10"/>
      <c r="AN902" s="10"/>
      <c r="AO902" s="10"/>
    </row>
    <row r="903" spans="1:41">
      <c r="A903" s="8">
        <v>901</v>
      </c>
      <c r="B903" s="8">
        <v>3107</v>
      </c>
      <c r="C903" s="8" t="s">
        <v>1091</v>
      </c>
      <c r="D903" s="8" t="s">
        <v>229</v>
      </c>
      <c r="E903" s="2" t="str">
        <f>"346.22"</f>
        <v>346.22</v>
      </c>
      <c r="F903" s="9"/>
      <c r="G903" s="9">
        <v>2017</v>
      </c>
      <c r="H903" s="10" t="str">
        <f>"373.82"</f>
        <v>373.82</v>
      </c>
      <c r="I903" s="10"/>
      <c r="J903" s="10"/>
      <c r="K903" s="10"/>
      <c r="L903" s="10"/>
      <c r="M903" s="10"/>
      <c r="N903" s="10" t="str">
        <f>"331.59"</f>
        <v>331.59</v>
      </c>
      <c r="O903" s="10"/>
      <c r="P903" s="10" t="str">
        <f>"360.85"</f>
        <v>360.85</v>
      </c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 t="str">
        <f>"388.04"</f>
        <v>388.04</v>
      </c>
      <c r="AB903" s="10"/>
      <c r="AC903" s="10"/>
      <c r="AD903" s="10"/>
      <c r="AE903" s="10"/>
      <c r="AF903" s="10"/>
      <c r="AG903" s="10"/>
      <c r="AH903" s="10"/>
      <c r="AI903" s="10"/>
      <c r="AJ903" s="10"/>
      <c r="AK903" s="10"/>
      <c r="AL903" s="10"/>
      <c r="AM903" s="10"/>
      <c r="AN903" s="10"/>
      <c r="AO903" s="10"/>
    </row>
    <row r="904" spans="1:41">
      <c r="A904" s="8">
        <v>902</v>
      </c>
      <c r="B904" s="8">
        <v>3637</v>
      </c>
      <c r="C904" s="8" t="s">
        <v>1092</v>
      </c>
      <c r="D904" s="8" t="s">
        <v>45</v>
      </c>
      <c r="E904" s="2" t="str">
        <f>"346.26"</f>
        <v>346.26</v>
      </c>
      <c r="F904" s="9" t="s">
        <v>9</v>
      </c>
      <c r="G904" s="9">
        <v>2017</v>
      </c>
      <c r="H904" s="10" t="str">
        <f>"284.48"</f>
        <v>284.48</v>
      </c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 t="str">
        <f>"306.26"</f>
        <v>306.26</v>
      </c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  <c r="AK904" s="10"/>
      <c r="AL904" s="10"/>
      <c r="AM904" s="10"/>
      <c r="AN904" s="10"/>
      <c r="AO904" s="10"/>
    </row>
    <row r="905" spans="1:41">
      <c r="A905" s="8">
        <v>903</v>
      </c>
      <c r="B905" s="8">
        <v>2173</v>
      </c>
      <c r="C905" s="8" t="s">
        <v>1093</v>
      </c>
      <c r="D905" s="8" t="s">
        <v>10</v>
      </c>
      <c r="E905" s="2" t="str">
        <f>"347.17"</f>
        <v>347.17</v>
      </c>
      <c r="F905" s="9"/>
      <c r="G905" s="9">
        <v>2017</v>
      </c>
      <c r="H905" s="10" t="str">
        <f>"288.21"</f>
        <v>288.21</v>
      </c>
      <c r="I905" s="10"/>
      <c r="J905" s="10"/>
      <c r="K905" s="10"/>
      <c r="L905" s="10"/>
      <c r="M905" s="10"/>
      <c r="N905" s="10"/>
      <c r="O905" s="10"/>
      <c r="P905" s="10"/>
      <c r="Q905" s="10" t="str">
        <f>"312.68"</f>
        <v>312.68</v>
      </c>
      <c r="R905" s="10" t="str">
        <f>"381.65"</f>
        <v>381.65</v>
      </c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  <c r="AK905" s="10"/>
      <c r="AL905" s="10"/>
      <c r="AM905" s="10"/>
      <c r="AN905" s="10"/>
      <c r="AO905" s="10"/>
    </row>
    <row r="906" spans="1:41">
      <c r="A906" s="8">
        <v>904</v>
      </c>
      <c r="B906" s="8">
        <v>2831</v>
      </c>
      <c r="C906" s="8" t="s">
        <v>1094</v>
      </c>
      <c r="D906" s="8" t="s">
        <v>275</v>
      </c>
      <c r="E906" s="2" t="str">
        <f>"347.26"</f>
        <v>347.26</v>
      </c>
      <c r="F906" s="9"/>
      <c r="G906" s="9">
        <v>2017</v>
      </c>
      <c r="H906" s="10" t="str">
        <f>"344.75"</f>
        <v>344.75</v>
      </c>
      <c r="I906" s="10"/>
      <c r="J906" s="10"/>
      <c r="K906" s="10"/>
      <c r="L906" s="10"/>
      <c r="M906" s="10"/>
      <c r="N906" s="10" t="str">
        <f>"371.66"</f>
        <v>371.66</v>
      </c>
      <c r="O906" s="10"/>
      <c r="P906" s="10" t="str">
        <f>"322.85"</f>
        <v>322.85</v>
      </c>
      <c r="Q906" s="10"/>
      <c r="R906" s="10"/>
      <c r="S906" s="10"/>
      <c r="T906" s="10" t="str">
        <f>"387.92"</f>
        <v>387.92</v>
      </c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  <c r="AK906" s="10"/>
      <c r="AL906" s="10"/>
      <c r="AM906" s="10"/>
      <c r="AN906" s="10"/>
      <c r="AO906" s="10"/>
    </row>
    <row r="907" spans="1:41">
      <c r="A907" s="8">
        <v>905</v>
      </c>
      <c r="B907" s="8">
        <v>10765</v>
      </c>
      <c r="C907" s="8" t="s">
        <v>1095</v>
      </c>
      <c r="D907" s="8" t="s">
        <v>19</v>
      </c>
      <c r="E907" s="2" t="str">
        <f>"347.75"</f>
        <v>347.75</v>
      </c>
      <c r="F907" s="9"/>
      <c r="G907" s="9">
        <v>2017</v>
      </c>
      <c r="H907" s="10" t="str">
        <f>"534.52"</f>
        <v>534.52</v>
      </c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 t="str">
        <f>"370.34"</f>
        <v>370.34</v>
      </c>
      <c r="Z907" s="10"/>
      <c r="AA907" s="10"/>
      <c r="AB907" s="10" t="str">
        <f>"325.15"</f>
        <v>325.15</v>
      </c>
      <c r="AC907" s="10"/>
      <c r="AD907" s="10"/>
      <c r="AE907" s="10"/>
      <c r="AF907" s="10"/>
      <c r="AG907" s="10"/>
      <c r="AH907" s="10"/>
      <c r="AI907" s="10"/>
      <c r="AJ907" s="10"/>
      <c r="AK907" s="10"/>
      <c r="AL907" s="10"/>
      <c r="AM907" s="10"/>
      <c r="AN907" s="10" t="str">
        <f>"379.58"</f>
        <v>379.58</v>
      </c>
      <c r="AO907" s="10"/>
    </row>
    <row r="908" spans="1:41">
      <c r="A908" s="8">
        <v>906</v>
      </c>
      <c r="B908" s="8">
        <v>5512</v>
      </c>
      <c r="C908" s="8" t="s">
        <v>1096</v>
      </c>
      <c r="D908" s="8" t="s">
        <v>10</v>
      </c>
      <c r="E908" s="2" t="str">
        <f>"348.29"</f>
        <v>348.29</v>
      </c>
      <c r="F908" s="9" t="s">
        <v>11</v>
      </c>
      <c r="G908" s="9">
        <v>2017</v>
      </c>
      <c r="H908" s="10" t="str">
        <f>"308.29"</f>
        <v>308.29</v>
      </c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  <c r="AJ908" s="10"/>
      <c r="AK908" s="10"/>
      <c r="AL908" s="10"/>
      <c r="AM908" s="10"/>
      <c r="AN908" s="10"/>
      <c r="AO908" s="10"/>
    </row>
    <row r="909" spans="1:41">
      <c r="A909" s="8">
        <v>907</v>
      </c>
      <c r="B909" s="8">
        <v>10584</v>
      </c>
      <c r="C909" s="8" t="s">
        <v>1097</v>
      </c>
      <c r="D909" s="8" t="s">
        <v>10</v>
      </c>
      <c r="E909" s="2" t="str">
        <f>"349.51"</f>
        <v>349.51</v>
      </c>
      <c r="F909" s="9"/>
      <c r="G909" s="9">
        <v>2017</v>
      </c>
      <c r="H909" s="10" t="str">
        <f>"285.58"</f>
        <v>285.58</v>
      </c>
      <c r="I909" s="10"/>
      <c r="J909" s="10"/>
      <c r="K909" s="10"/>
      <c r="L909" s="10"/>
      <c r="M909" s="10"/>
      <c r="N909" s="10"/>
      <c r="O909" s="10"/>
      <c r="P909" s="10"/>
      <c r="Q909" s="10" t="str">
        <f>"381.13"</f>
        <v>381.13</v>
      </c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 t="str">
        <f>"317.88"</f>
        <v>317.88</v>
      </c>
      <c r="AF909" s="10" t="str">
        <f>"389.27"</f>
        <v>389.27</v>
      </c>
      <c r="AG909" s="10"/>
      <c r="AH909" s="10"/>
      <c r="AI909" s="10"/>
      <c r="AJ909" s="10"/>
      <c r="AK909" s="10"/>
      <c r="AL909" s="10"/>
      <c r="AM909" s="10"/>
      <c r="AN909" s="10"/>
      <c r="AO909" s="10"/>
    </row>
    <row r="910" spans="1:41">
      <c r="A910" s="8">
        <v>908</v>
      </c>
      <c r="B910" s="8">
        <v>3310</v>
      </c>
      <c r="C910" s="8" t="s">
        <v>1098</v>
      </c>
      <c r="D910" s="8" t="s">
        <v>331</v>
      </c>
      <c r="E910" s="2" t="str">
        <f>"350.04"</f>
        <v>350.04</v>
      </c>
      <c r="F910" s="9" t="s">
        <v>11</v>
      </c>
      <c r="G910" s="9">
        <v>2017</v>
      </c>
      <c r="H910" s="10" t="str">
        <f>"310.04"</f>
        <v>310.04</v>
      </c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0"/>
      <c r="AJ910" s="10"/>
      <c r="AK910" s="10"/>
      <c r="AL910" s="10"/>
      <c r="AM910" s="10"/>
      <c r="AN910" s="10"/>
      <c r="AO910" s="10"/>
    </row>
    <row r="911" spans="1:41">
      <c r="A911" s="8">
        <v>909</v>
      </c>
      <c r="B911" s="8">
        <v>10495</v>
      </c>
      <c r="C911" s="8" t="s">
        <v>1099</v>
      </c>
      <c r="D911" s="8" t="s">
        <v>19</v>
      </c>
      <c r="E911" s="2" t="str">
        <f>"350.04"</f>
        <v>350.04</v>
      </c>
      <c r="F911" s="9" t="s">
        <v>11</v>
      </c>
      <c r="G911" s="9">
        <v>2017</v>
      </c>
      <c r="H911" s="10" t="str">
        <f>"310.04"</f>
        <v>310.04</v>
      </c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0"/>
      <c r="AJ911" s="10"/>
      <c r="AK911" s="10"/>
      <c r="AL911" s="10"/>
      <c r="AM911" s="10"/>
      <c r="AN911" s="10"/>
      <c r="AO911" s="10"/>
    </row>
    <row r="912" spans="1:41">
      <c r="A912" s="8">
        <v>910</v>
      </c>
      <c r="B912" s="8">
        <v>11058</v>
      </c>
      <c r="C912" s="8" t="s">
        <v>1100</v>
      </c>
      <c r="D912" s="8" t="s">
        <v>50</v>
      </c>
      <c r="E912" s="2" t="str">
        <f>"351.56"</f>
        <v>351.56</v>
      </c>
      <c r="F912" s="9"/>
      <c r="G912" s="9">
        <v>2017</v>
      </c>
      <c r="H912" s="10" t="str">
        <f>"669.92"</f>
        <v>669.92</v>
      </c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 t="str">
        <f>"463.34"</f>
        <v>463.34</v>
      </c>
      <c r="V912" s="10"/>
      <c r="W912" s="10" t="str">
        <f>"239.78"</f>
        <v>239.78</v>
      </c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0"/>
      <c r="AJ912" s="10"/>
      <c r="AK912" s="10"/>
      <c r="AL912" s="10"/>
      <c r="AM912" s="10"/>
      <c r="AN912" s="10"/>
      <c r="AO912" s="10"/>
    </row>
    <row r="913" spans="1:41">
      <c r="A913" s="8">
        <v>911</v>
      </c>
      <c r="B913" s="8">
        <v>4346</v>
      </c>
      <c r="C913" s="8" t="s">
        <v>1101</v>
      </c>
      <c r="D913" s="8" t="s">
        <v>60</v>
      </c>
      <c r="E913" s="2" t="str">
        <f>"351.81"</f>
        <v>351.81</v>
      </c>
      <c r="F913" s="9" t="s">
        <v>11</v>
      </c>
      <c r="G913" s="9">
        <v>2017</v>
      </c>
      <c r="H913" s="10" t="str">
        <f>"311.81"</f>
        <v>311.81</v>
      </c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0"/>
      <c r="AJ913" s="10"/>
      <c r="AK913" s="10"/>
      <c r="AL913" s="10"/>
      <c r="AM913" s="10"/>
      <c r="AN913" s="10"/>
      <c r="AO913" s="10"/>
    </row>
    <row r="914" spans="1:41">
      <c r="A914" s="8">
        <v>912</v>
      </c>
      <c r="B914" s="8">
        <v>10460</v>
      </c>
      <c r="C914" s="8" t="s">
        <v>1102</v>
      </c>
      <c r="D914" s="8" t="s">
        <v>19</v>
      </c>
      <c r="E914" s="2" t="str">
        <f>"352.38"</f>
        <v>352.38</v>
      </c>
      <c r="F914" s="9"/>
      <c r="G914" s="9">
        <v>2017</v>
      </c>
      <c r="H914" s="10" t="str">
        <f>"568.29"</f>
        <v>568.29</v>
      </c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 t="str">
        <f>"410.54"</f>
        <v>410.54</v>
      </c>
      <c r="AC914" s="10"/>
      <c r="AD914" s="10"/>
      <c r="AE914" s="10"/>
      <c r="AF914" s="10"/>
      <c r="AG914" s="10"/>
      <c r="AH914" s="10"/>
      <c r="AI914" s="10"/>
      <c r="AJ914" s="10"/>
      <c r="AK914" s="10"/>
      <c r="AL914" s="10"/>
      <c r="AM914" s="10"/>
      <c r="AN914" s="10" t="str">
        <f>"294.22"</f>
        <v>294.22</v>
      </c>
      <c r="AO914" s="10"/>
    </row>
    <row r="915" spans="1:41">
      <c r="A915" s="8">
        <v>913</v>
      </c>
      <c r="B915" s="8">
        <v>10387</v>
      </c>
      <c r="C915" s="8" t="s">
        <v>1103</v>
      </c>
      <c r="D915" s="8" t="s">
        <v>19</v>
      </c>
      <c r="E915" s="2" t="str">
        <f>"352.51"</f>
        <v>352.51</v>
      </c>
      <c r="F915" s="9"/>
      <c r="G915" s="9">
        <v>2017</v>
      </c>
      <c r="H915" s="10" t="str">
        <f>"453.94"</f>
        <v>453.94</v>
      </c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 t="str">
        <f>"358.75"</f>
        <v>358.75</v>
      </c>
      <c r="AC915" s="10"/>
      <c r="AD915" s="10"/>
      <c r="AE915" s="10"/>
      <c r="AF915" s="10"/>
      <c r="AG915" s="10"/>
      <c r="AH915" s="10"/>
      <c r="AI915" s="10"/>
      <c r="AJ915" s="10"/>
      <c r="AK915" s="10"/>
      <c r="AL915" s="10"/>
      <c r="AM915" s="10" t="str">
        <f>"346.26"</f>
        <v>346.26</v>
      </c>
      <c r="AN915" s="10"/>
      <c r="AO915" s="10"/>
    </row>
    <row r="916" spans="1:41">
      <c r="A916" s="8">
        <v>914</v>
      </c>
      <c r="B916" s="8">
        <v>11146</v>
      </c>
      <c r="C916" s="8" t="s">
        <v>1104</v>
      </c>
      <c r="D916" s="8" t="s">
        <v>19</v>
      </c>
      <c r="E916" s="2" t="str">
        <f>"353.26"</f>
        <v>353.26</v>
      </c>
      <c r="F916" s="9" t="s">
        <v>9</v>
      </c>
      <c r="G916" s="9">
        <v>2017</v>
      </c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 t="str">
        <f>"313.26"</f>
        <v>313.26</v>
      </c>
      <c r="AC916" s="10"/>
      <c r="AD916" s="10"/>
      <c r="AE916" s="10"/>
      <c r="AF916" s="10"/>
      <c r="AG916" s="10"/>
      <c r="AH916" s="10"/>
      <c r="AI916" s="10"/>
      <c r="AJ916" s="10"/>
      <c r="AK916" s="10"/>
      <c r="AL916" s="10"/>
      <c r="AM916" s="10"/>
      <c r="AN916" s="10"/>
      <c r="AO916" s="10"/>
    </row>
    <row r="917" spans="1:41">
      <c r="A917" s="8">
        <v>915</v>
      </c>
      <c r="B917" s="8">
        <v>7623</v>
      </c>
      <c r="C917" s="8" t="s">
        <v>1105</v>
      </c>
      <c r="D917" s="8" t="s">
        <v>1106</v>
      </c>
      <c r="E917" s="2" t="str">
        <f>"353.39"</f>
        <v>353.39</v>
      </c>
      <c r="F917" s="9"/>
      <c r="G917" s="9">
        <v>2017</v>
      </c>
      <c r="H917" s="10" t="str">
        <f>"403.79"</f>
        <v>403.79</v>
      </c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 t="str">
        <f>"374.23"</f>
        <v>374.23</v>
      </c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 t="str">
        <f>"332.54"</f>
        <v>332.54</v>
      </c>
      <c r="AJ917" s="10"/>
      <c r="AK917" s="10"/>
      <c r="AL917" s="10"/>
      <c r="AM917" s="10"/>
      <c r="AN917" s="10"/>
      <c r="AO917" s="10"/>
    </row>
    <row r="918" spans="1:41">
      <c r="A918" s="8">
        <v>916</v>
      </c>
      <c r="B918" s="8">
        <v>10827</v>
      </c>
      <c r="C918" s="8" t="s">
        <v>1107</v>
      </c>
      <c r="D918" s="8" t="s">
        <v>19</v>
      </c>
      <c r="E918" s="2" t="str">
        <f>"354.01"</f>
        <v>354.01</v>
      </c>
      <c r="F918" s="9" t="s">
        <v>9</v>
      </c>
      <c r="G918" s="9">
        <v>2017</v>
      </c>
      <c r="H918" s="10" t="str">
        <f>"288.07"</f>
        <v>288.07</v>
      </c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 t="str">
        <f>"314.01"</f>
        <v>314.01</v>
      </c>
      <c r="AC918" s="10"/>
      <c r="AD918" s="10"/>
      <c r="AE918" s="10"/>
      <c r="AF918" s="10"/>
      <c r="AG918" s="10"/>
      <c r="AH918" s="10"/>
      <c r="AI918" s="10"/>
      <c r="AJ918" s="10"/>
      <c r="AK918" s="10"/>
      <c r="AL918" s="10"/>
      <c r="AM918" s="10"/>
      <c r="AN918" s="10"/>
      <c r="AO918" s="10"/>
    </row>
    <row r="919" spans="1:41">
      <c r="A919" s="8">
        <v>917</v>
      </c>
      <c r="B919" s="8">
        <v>5398</v>
      </c>
      <c r="C919" s="8" t="s">
        <v>1108</v>
      </c>
      <c r="D919" s="8" t="s">
        <v>426</v>
      </c>
      <c r="E919" s="2" t="str">
        <f>"354.28"</f>
        <v>354.28</v>
      </c>
      <c r="F919" s="9" t="s">
        <v>9</v>
      </c>
      <c r="G919" s="9">
        <v>2017</v>
      </c>
      <c r="H919" s="10" t="str">
        <f>"185.52"</f>
        <v>185.52</v>
      </c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 t="str">
        <f>"314.28"</f>
        <v>314.28</v>
      </c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0"/>
      <c r="AJ919" s="10"/>
      <c r="AK919" s="10"/>
      <c r="AL919" s="10"/>
      <c r="AM919" s="10"/>
      <c r="AN919" s="10"/>
      <c r="AO919" s="10"/>
    </row>
    <row r="920" spans="1:41">
      <c r="A920" s="8">
        <v>918</v>
      </c>
      <c r="B920" s="8">
        <v>10890</v>
      </c>
      <c r="C920" s="8" t="s">
        <v>1109</v>
      </c>
      <c r="D920" s="8" t="s">
        <v>10</v>
      </c>
      <c r="E920" s="2" t="str">
        <f>"354.50"</f>
        <v>354.50</v>
      </c>
      <c r="F920" s="9"/>
      <c r="G920" s="9">
        <v>2017</v>
      </c>
      <c r="H920" s="10"/>
      <c r="I920" s="10"/>
      <c r="J920" s="10"/>
      <c r="K920" s="10"/>
      <c r="L920" s="10"/>
      <c r="M920" s="10"/>
      <c r="N920" s="10"/>
      <c r="O920" s="10"/>
      <c r="P920" s="10"/>
      <c r="Q920" s="10" t="str">
        <f>"365.31"</f>
        <v>365.31</v>
      </c>
      <c r="R920" s="10" t="str">
        <f>"343.68"</f>
        <v>343.68</v>
      </c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0"/>
      <c r="AJ920" s="10"/>
      <c r="AK920" s="10"/>
      <c r="AL920" s="10"/>
      <c r="AM920" s="10"/>
      <c r="AN920" s="10"/>
      <c r="AO920" s="10"/>
    </row>
    <row r="921" spans="1:41">
      <c r="A921" s="8">
        <v>919</v>
      </c>
      <c r="B921" s="8">
        <v>10910</v>
      </c>
      <c r="C921" s="8" t="s">
        <v>1110</v>
      </c>
      <c r="D921" s="8" t="s">
        <v>10</v>
      </c>
      <c r="E921" s="2" t="str">
        <f>"354.78"</f>
        <v>354.78</v>
      </c>
      <c r="F921" s="9"/>
      <c r="G921" s="9">
        <v>2017</v>
      </c>
      <c r="H921" s="10" t="str">
        <f>"507.18"</f>
        <v>507.18</v>
      </c>
      <c r="I921" s="10"/>
      <c r="J921" s="10"/>
      <c r="K921" s="10"/>
      <c r="L921" s="10"/>
      <c r="M921" s="10"/>
      <c r="N921" s="10"/>
      <c r="O921" s="10"/>
      <c r="P921" s="10"/>
      <c r="Q921" s="10" t="str">
        <f>"360.13"</f>
        <v>360.13</v>
      </c>
      <c r="R921" s="10" t="str">
        <f>"497.57"</f>
        <v>497.57</v>
      </c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 t="str">
        <f>"349.43"</f>
        <v>349.43</v>
      </c>
      <c r="AF921" s="10"/>
      <c r="AG921" s="10"/>
      <c r="AH921" s="10"/>
      <c r="AI921" s="10"/>
      <c r="AJ921" s="10"/>
      <c r="AK921" s="10"/>
      <c r="AL921" s="10"/>
      <c r="AM921" s="10"/>
      <c r="AN921" s="10"/>
      <c r="AO921" s="10"/>
    </row>
    <row r="922" spans="1:41">
      <c r="A922" s="8">
        <v>920</v>
      </c>
      <c r="B922" s="8">
        <v>2454</v>
      </c>
      <c r="C922" s="8" t="s">
        <v>1111</v>
      </c>
      <c r="D922" s="8" t="s">
        <v>88</v>
      </c>
      <c r="E922" s="2" t="str">
        <f>"354.78"</f>
        <v>354.78</v>
      </c>
      <c r="F922" s="9" t="s">
        <v>11</v>
      </c>
      <c r="G922" s="9">
        <v>2017</v>
      </c>
      <c r="H922" s="10" t="str">
        <f>"314.78"</f>
        <v>314.78</v>
      </c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0"/>
      <c r="AJ922" s="10"/>
      <c r="AK922" s="10"/>
      <c r="AL922" s="10"/>
      <c r="AM922" s="10"/>
      <c r="AN922" s="10"/>
      <c r="AO922" s="10"/>
    </row>
    <row r="923" spans="1:41">
      <c r="A923" s="8">
        <v>921</v>
      </c>
      <c r="B923" s="8">
        <v>6100</v>
      </c>
      <c r="C923" s="8" t="s">
        <v>1112</v>
      </c>
      <c r="D923" s="8" t="s">
        <v>147</v>
      </c>
      <c r="E923" s="2" t="str">
        <f>"355.18"</f>
        <v>355.18</v>
      </c>
      <c r="F923" s="9"/>
      <c r="G923" s="9">
        <v>2017</v>
      </c>
      <c r="H923" s="10" t="str">
        <f>"334.27"</f>
        <v>334.27</v>
      </c>
      <c r="I923" s="10"/>
      <c r="J923" s="10"/>
      <c r="K923" s="10"/>
      <c r="L923" s="10"/>
      <c r="M923" s="10"/>
      <c r="N923" s="10" t="str">
        <f>"369.87"</f>
        <v>369.87</v>
      </c>
      <c r="O923" s="10"/>
      <c r="P923" s="10" t="str">
        <f>"348.83"</f>
        <v>348.83</v>
      </c>
      <c r="Q923" s="10"/>
      <c r="R923" s="10"/>
      <c r="S923" s="10"/>
      <c r="T923" s="10" t="str">
        <f>"444.12"</f>
        <v>444.12</v>
      </c>
      <c r="U923" s="10"/>
      <c r="V923" s="10"/>
      <c r="W923" s="10"/>
      <c r="X923" s="10"/>
      <c r="Y923" s="10"/>
      <c r="Z923" s="10"/>
      <c r="AA923" s="10" t="str">
        <f>"361.53"</f>
        <v>361.53</v>
      </c>
      <c r="AB923" s="10"/>
      <c r="AC923" s="10"/>
      <c r="AD923" s="10"/>
      <c r="AE923" s="10"/>
      <c r="AF923" s="10"/>
      <c r="AG923" s="10"/>
      <c r="AH923" s="10"/>
      <c r="AI923" s="10"/>
      <c r="AJ923" s="10"/>
      <c r="AK923" s="10"/>
      <c r="AL923" s="10"/>
      <c r="AM923" s="10"/>
      <c r="AN923" s="10"/>
      <c r="AO923" s="10"/>
    </row>
    <row r="924" spans="1:41">
      <c r="A924" s="8">
        <v>922</v>
      </c>
      <c r="B924" s="8">
        <v>10803</v>
      </c>
      <c r="C924" s="8" t="s">
        <v>1113</v>
      </c>
      <c r="D924" s="8" t="s">
        <v>19</v>
      </c>
      <c r="E924" s="2" t="str">
        <f>"355.31"</f>
        <v>355.31</v>
      </c>
      <c r="F924" s="9" t="s">
        <v>9</v>
      </c>
      <c r="G924" s="9">
        <v>2017</v>
      </c>
      <c r="H924" s="10" t="str">
        <f>"317.38"</f>
        <v>317.38</v>
      </c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 t="str">
        <f>"315.31"</f>
        <v>315.31</v>
      </c>
      <c r="AC924" s="10"/>
      <c r="AD924" s="10"/>
      <c r="AE924" s="10"/>
      <c r="AF924" s="10"/>
      <c r="AG924" s="10"/>
      <c r="AH924" s="10"/>
      <c r="AI924" s="10"/>
      <c r="AJ924" s="10"/>
      <c r="AK924" s="10"/>
      <c r="AL924" s="10"/>
      <c r="AM924" s="10"/>
      <c r="AN924" s="10"/>
      <c r="AO924" s="10"/>
    </row>
    <row r="925" spans="1:41">
      <c r="A925" s="8">
        <v>923</v>
      </c>
      <c r="B925" s="8">
        <v>10736</v>
      </c>
      <c r="C925" s="8" t="s">
        <v>1114</v>
      </c>
      <c r="D925" s="8" t="s">
        <v>19</v>
      </c>
      <c r="E925" s="2" t="str">
        <f>"356.42"</f>
        <v>356.42</v>
      </c>
      <c r="F925" s="9" t="s">
        <v>9</v>
      </c>
      <c r="G925" s="9">
        <v>2017</v>
      </c>
      <c r="H925" s="10" t="str">
        <f>"621.06"</f>
        <v>621.06</v>
      </c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 t="str">
        <f>"316.42"</f>
        <v>316.42</v>
      </c>
      <c r="AC925" s="10"/>
      <c r="AD925" s="10"/>
      <c r="AE925" s="10"/>
      <c r="AF925" s="10"/>
      <c r="AG925" s="10"/>
      <c r="AH925" s="10"/>
      <c r="AI925" s="10"/>
      <c r="AJ925" s="10"/>
      <c r="AK925" s="10"/>
      <c r="AL925" s="10"/>
      <c r="AM925" s="10"/>
      <c r="AN925" s="10"/>
      <c r="AO925" s="10"/>
    </row>
    <row r="926" spans="1:41">
      <c r="A926" s="8">
        <v>924</v>
      </c>
      <c r="B926" s="8">
        <v>11044</v>
      </c>
      <c r="C926" s="8" t="s">
        <v>91</v>
      </c>
      <c r="D926" s="8"/>
      <c r="E926" s="2" t="str">
        <f>"356.74"</f>
        <v>356.74</v>
      </c>
      <c r="F926" s="9" t="s">
        <v>9</v>
      </c>
      <c r="G926" s="9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 t="str">
        <f>"316.74"</f>
        <v>316.74</v>
      </c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  <c r="AJ926" s="10"/>
      <c r="AK926" s="10"/>
      <c r="AL926" s="10"/>
      <c r="AM926" s="10"/>
      <c r="AN926" s="10"/>
      <c r="AO926" s="10"/>
    </row>
    <row r="927" spans="1:41">
      <c r="A927" s="8">
        <v>925</v>
      </c>
      <c r="B927" s="8">
        <v>8442</v>
      </c>
      <c r="C927" s="8" t="s">
        <v>1115</v>
      </c>
      <c r="D927" s="8" t="s">
        <v>12</v>
      </c>
      <c r="E927" s="2" t="str">
        <f>"357.07"</f>
        <v>357.07</v>
      </c>
      <c r="F927" s="9" t="s">
        <v>11</v>
      </c>
      <c r="G927" s="9">
        <v>2017</v>
      </c>
      <c r="H927" s="10" t="str">
        <f>"317.07"</f>
        <v>317.07</v>
      </c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  <c r="AK927" s="10"/>
      <c r="AL927" s="10"/>
      <c r="AM927" s="10"/>
      <c r="AN927" s="10"/>
      <c r="AO927" s="10"/>
    </row>
    <row r="928" spans="1:41">
      <c r="A928" s="8">
        <v>926</v>
      </c>
      <c r="B928" s="8">
        <v>2577</v>
      </c>
      <c r="C928" s="8" t="s">
        <v>1116</v>
      </c>
      <c r="D928" s="8" t="s">
        <v>662</v>
      </c>
      <c r="E928" s="2" t="str">
        <f>"358.22"</f>
        <v>358.22</v>
      </c>
      <c r="F928" s="9"/>
      <c r="G928" s="9">
        <v>2017</v>
      </c>
      <c r="H928" s="10" t="str">
        <f>"365.82"</f>
        <v>365.82</v>
      </c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 t="str">
        <f>"308.51"</f>
        <v>308.51</v>
      </c>
      <c r="AB928" s="10"/>
      <c r="AC928" s="10"/>
      <c r="AD928" s="10"/>
      <c r="AE928" s="10"/>
      <c r="AF928" s="10"/>
      <c r="AG928" s="10"/>
      <c r="AH928" s="10"/>
      <c r="AI928" s="10"/>
      <c r="AJ928" s="10"/>
      <c r="AK928" s="10"/>
      <c r="AL928" s="10" t="str">
        <f>"407.93"</f>
        <v>407.93</v>
      </c>
      <c r="AM928" s="10"/>
      <c r="AN928" s="10"/>
      <c r="AO928" s="10"/>
    </row>
    <row r="929" spans="1:41">
      <c r="A929" s="8">
        <v>927</v>
      </c>
      <c r="B929" s="8">
        <v>2146</v>
      </c>
      <c r="C929" s="8" t="s">
        <v>1117</v>
      </c>
      <c r="D929" s="8" t="s">
        <v>97</v>
      </c>
      <c r="E929" s="2" t="str">
        <f>"358.95"</f>
        <v>358.95</v>
      </c>
      <c r="F929" s="9" t="s">
        <v>11</v>
      </c>
      <c r="G929" s="9">
        <v>2017</v>
      </c>
      <c r="H929" s="10" t="str">
        <f>"318.95"</f>
        <v>318.95</v>
      </c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  <c r="AK929" s="10"/>
      <c r="AL929" s="10"/>
      <c r="AM929" s="10"/>
      <c r="AN929" s="10"/>
      <c r="AO929" s="10"/>
    </row>
    <row r="930" spans="1:41">
      <c r="A930" s="8">
        <v>928</v>
      </c>
      <c r="B930" s="8">
        <v>274</v>
      </c>
      <c r="C930" s="8" t="s">
        <v>1118</v>
      </c>
      <c r="D930" s="8" t="s">
        <v>33</v>
      </c>
      <c r="E930" s="2" t="str">
        <f>"359.45"</f>
        <v>359.45</v>
      </c>
      <c r="F930" s="9" t="s">
        <v>9</v>
      </c>
      <c r="G930" s="9">
        <v>2017</v>
      </c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 t="str">
        <f>"319.45"</f>
        <v>319.45</v>
      </c>
      <c r="AJ930" s="10"/>
      <c r="AK930" s="10"/>
      <c r="AL930" s="10"/>
      <c r="AM930" s="10"/>
      <c r="AN930" s="10"/>
      <c r="AO930" s="10"/>
    </row>
    <row r="931" spans="1:41">
      <c r="A931" s="8">
        <v>929</v>
      </c>
      <c r="B931" s="8">
        <v>10681</v>
      </c>
      <c r="C931" s="8" t="s">
        <v>1119</v>
      </c>
      <c r="D931" s="8" t="s">
        <v>19</v>
      </c>
      <c r="E931" s="2" t="str">
        <f>"360.93"</f>
        <v>360.93</v>
      </c>
      <c r="F931" s="9"/>
      <c r="G931" s="9">
        <v>2017</v>
      </c>
      <c r="H931" s="10" t="str">
        <f>"466.36"</f>
        <v>466.36</v>
      </c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 t="str">
        <f>"420.75"</f>
        <v>420.75</v>
      </c>
      <c r="AC931" s="10"/>
      <c r="AD931" s="10"/>
      <c r="AE931" s="10"/>
      <c r="AF931" s="10"/>
      <c r="AG931" s="10"/>
      <c r="AH931" s="10"/>
      <c r="AI931" s="10"/>
      <c r="AJ931" s="10"/>
      <c r="AK931" s="10"/>
      <c r="AL931" s="10"/>
      <c r="AM931" s="10"/>
      <c r="AN931" s="10" t="str">
        <f>"301.10"</f>
        <v>301.10</v>
      </c>
      <c r="AO931" s="10"/>
    </row>
    <row r="932" spans="1:41">
      <c r="A932" s="8">
        <v>930</v>
      </c>
      <c r="B932" s="8">
        <v>10470</v>
      </c>
      <c r="C932" s="8" t="s">
        <v>1120</v>
      </c>
      <c r="D932" s="8" t="s">
        <v>19</v>
      </c>
      <c r="E932" s="2" t="str">
        <f>"362.64"</f>
        <v>362.64</v>
      </c>
      <c r="F932" s="9"/>
      <c r="G932" s="9">
        <v>2017</v>
      </c>
      <c r="H932" s="10" t="str">
        <f>"629.09"</f>
        <v>629.09</v>
      </c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 t="str">
        <f>"369.51"</f>
        <v>369.51</v>
      </c>
      <c r="AC932" s="10"/>
      <c r="AD932" s="10"/>
      <c r="AE932" s="10"/>
      <c r="AF932" s="10"/>
      <c r="AG932" s="10"/>
      <c r="AH932" s="10"/>
      <c r="AI932" s="10"/>
      <c r="AJ932" s="10"/>
      <c r="AK932" s="10"/>
      <c r="AL932" s="10"/>
      <c r="AM932" s="10"/>
      <c r="AN932" s="10" t="str">
        <f>"355.76"</f>
        <v>355.76</v>
      </c>
      <c r="AO932" s="10"/>
    </row>
    <row r="933" spans="1:41">
      <c r="A933" s="8">
        <v>931</v>
      </c>
      <c r="B933" s="8">
        <v>1306</v>
      </c>
      <c r="C933" s="8" t="s">
        <v>1121</v>
      </c>
      <c r="D933" s="8" t="s">
        <v>37</v>
      </c>
      <c r="E933" s="2" t="str">
        <f>"363.46"</f>
        <v>363.46</v>
      </c>
      <c r="F933" s="9" t="s">
        <v>11</v>
      </c>
      <c r="G933" s="9">
        <v>2017</v>
      </c>
      <c r="H933" s="10" t="str">
        <f>"323.46"</f>
        <v>323.46</v>
      </c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10"/>
      <c r="AL933" s="10"/>
      <c r="AM933" s="10"/>
      <c r="AN933" s="10"/>
      <c r="AO933" s="10"/>
    </row>
    <row r="934" spans="1:41">
      <c r="A934" s="8">
        <v>932</v>
      </c>
      <c r="B934" s="8">
        <v>10694</v>
      </c>
      <c r="C934" s="8" t="s">
        <v>1122</v>
      </c>
      <c r="D934" s="8" t="s">
        <v>19</v>
      </c>
      <c r="E934" s="2" t="str">
        <f>"364.03"</f>
        <v>364.03</v>
      </c>
      <c r="F934" s="9" t="s">
        <v>9</v>
      </c>
      <c r="G934" s="9">
        <v>2017</v>
      </c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 t="str">
        <f>"324.03"</f>
        <v>324.03</v>
      </c>
      <c r="AC934" s="10"/>
      <c r="AD934" s="10"/>
      <c r="AE934" s="10"/>
      <c r="AF934" s="10"/>
      <c r="AG934" s="10"/>
      <c r="AH934" s="10"/>
      <c r="AI934" s="10"/>
      <c r="AJ934" s="10"/>
      <c r="AK934" s="10"/>
      <c r="AL934" s="10"/>
      <c r="AM934" s="10"/>
      <c r="AN934" s="10"/>
      <c r="AO934" s="10"/>
    </row>
    <row r="935" spans="1:41">
      <c r="A935" s="8">
        <v>933</v>
      </c>
      <c r="B935" s="8">
        <v>2334</v>
      </c>
      <c r="C935" s="8" t="s">
        <v>1123</v>
      </c>
      <c r="D935" s="8" t="s">
        <v>10</v>
      </c>
      <c r="E935" s="2" t="str">
        <f>"364.08"</f>
        <v>364.08</v>
      </c>
      <c r="F935" s="9"/>
      <c r="G935" s="9">
        <v>2017</v>
      </c>
      <c r="H935" s="10" t="str">
        <f>"473.32"</f>
        <v>473.32</v>
      </c>
      <c r="I935" s="10"/>
      <c r="J935" s="10"/>
      <c r="K935" s="10"/>
      <c r="L935" s="10"/>
      <c r="M935" s="10"/>
      <c r="N935" s="10"/>
      <c r="O935" s="10"/>
      <c r="P935" s="10"/>
      <c r="Q935" s="10" t="str">
        <f>"477.12"</f>
        <v>477.12</v>
      </c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 t="str">
        <f>"329.65"</f>
        <v>329.65</v>
      </c>
      <c r="AF935" s="10"/>
      <c r="AG935" s="10"/>
      <c r="AH935" s="10"/>
      <c r="AI935" s="10"/>
      <c r="AJ935" s="10"/>
      <c r="AK935" s="10"/>
      <c r="AL935" s="10"/>
      <c r="AM935" s="10"/>
      <c r="AN935" s="10" t="str">
        <f>"398.50"</f>
        <v>398.50</v>
      </c>
      <c r="AO935" s="10"/>
    </row>
    <row r="936" spans="1:41">
      <c r="A936" s="8">
        <v>934</v>
      </c>
      <c r="B936" s="8">
        <v>10963</v>
      </c>
      <c r="C936" s="8" t="s">
        <v>1124</v>
      </c>
      <c r="D936" s="8" t="s">
        <v>42</v>
      </c>
      <c r="E936" s="2" t="str">
        <f>"365.91"</f>
        <v>365.91</v>
      </c>
      <c r="F936" s="9" t="s">
        <v>11</v>
      </c>
      <c r="G936" s="9">
        <v>2017</v>
      </c>
      <c r="H936" s="10" t="str">
        <f>"325.91"</f>
        <v>325.91</v>
      </c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  <c r="AK936" s="10"/>
      <c r="AL936" s="10"/>
      <c r="AM936" s="10"/>
      <c r="AN936" s="10"/>
      <c r="AO936" s="10"/>
    </row>
    <row r="937" spans="1:41">
      <c r="A937" s="8">
        <v>935</v>
      </c>
      <c r="B937" s="8">
        <v>10617</v>
      </c>
      <c r="C937" s="8" t="s">
        <v>1125</v>
      </c>
      <c r="D937" s="8" t="s">
        <v>10</v>
      </c>
      <c r="E937" s="2" t="str">
        <f>"366.03"</f>
        <v>366.03</v>
      </c>
      <c r="F937" s="9"/>
      <c r="G937" s="9">
        <v>2017</v>
      </c>
      <c r="H937" s="10" t="str">
        <f>"480.99"</f>
        <v>480.99</v>
      </c>
      <c r="I937" s="10"/>
      <c r="J937" s="10"/>
      <c r="K937" s="10"/>
      <c r="L937" s="10"/>
      <c r="M937" s="10"/>
      <c r="N937" s="10"/>
      <c r="O937" s="10"/>
      <c r="P937" s="10"/>
      <c r="Q937" s="10" t="str">
        <f>"322.49"</f>
        <v>322.49</v>
      </c>
      <c r="R937" s="10" t="str">
        <f>"409.57"</f>
        <v>409.57</v>
      </c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  <c r="AK937" s="10"/>
      <c r="AL937" s="10"/>
      <c r="AM937" s="10"/>
      <c r="AN937" s="10"/>
      <c r="AO937" s="10"/>
    </row>
    <row r="938" spans="1:41">
      <c r="A938" s="8">
        <v>936</v>
      </c>
      <c r="B938" s="8">
        <v>2507</v>
      </c>
      <c r="C938" s="8" t="s">
        <v>1126</v>
      </c>
      <c r="D938" s="8" t="s">
        <v>89</v>
      </c>
      <c r="E938" s="2" t="str">
        <f>"366.22"</f>
        <v>366.22</v>
      </c>
      <c r="F938" s="9"/>
      <c r="G938" s="9">
        <v>2017</v>
      </c>
      <c r="H938" s="10" t="str">
        <f>"319.37"</f>
        <v>319.37</v>
      </c>
      <c r="I938" s="10"/>
      <c r="J938" s="10"/>
      <c r="K938" s="10"/>
      <c r="L938" s="10"/>
      <c r="M938" s="10"/>
      <c r="N938" s="10"/>
      <c r="O938" s="10"/>
      <c r="P938" s="10" t="str">
        <f>"359.80"</f>
        <v>359.80</v>
      </c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 t="str">
        <f>"372.63"</f>
        <v>372.63</v>
      </c>
      <c r="AB938" s="10"/>
      <c r="AC938" s="10"/>
      <c r="AD938" s="10"/>
      <c r="AE938" s="10"/>
      <c r="AF938" s="10"/>
      <c r="AG938" s="10"/>
      <c r="AH938" s="10"/>
      <c r="AI938" s="10"/>
      <c r="AJ938" s="10"/>
      <c r="AK938" s="10"/>
      <c r="AL938" s="10"/>
      <c r="AM938" s="10"/>
      <c r="AN938" s="10"/>
      <c r="AO938" s="10"/>
    </row>
    <row r="939" spans="1:41">
      <c r="A939" s="8">
        <v>937</v>
      </c>
      <c r="B939" s="8">
        <v>11238</v>
      </c>
      <c r="C939" s="8" t="s">
        <v>1127</v>
      </c>
      <c r="D939" s="8" t="s">
        <v>10</v>
      </c>
      <c r="E939" s="2" t="str">
        <f>"366.54"</f>
        <v>366.54</v>
      </c>
      <c r="F939" s="9"/>
      <c r="G939" s="9">
        <v>2017</v>
      </c>
      <c r="H939" s="10"/>
      <c r="I939" s="10"/>
      <c r="J939" s="10"/>
      <c r="K939" s="10" t="str">
        <f>"439.97"</f>
        <v>439.97</v>
      </c>
      <c r="L939" s="10"/>
      <c r="M939" s="10"/>
      <c r="N939" s="10"/>
      <c r="O939" s="10"/>
      <c r="P939" s="10"/>
      <c r="Q939" s="10" t="str">
        <f>"395.72"</f>
        <v>395.72</v>
      </c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  <c r="AL939" s="10" t="str">
        <f>"634.79"</f>
        <v>634.79</v>
      </c>
      <c r="AM939" s="10"/>
      <c r="AN939" s="10" t="str">
        <f>"337.36"</f>
        <v>337.36</v>
      </c>
      <c r="AO939" s="10"/>
    </row>
    <row r="940" spans="1:41">
      <c r="A940" s="8">
        <v>938</v>
      </c>
      <c r="B940" s="8">
        <v>11011</v>
      </c>
      <c r="C940" s="8" t="s">
        <v>1128</v>
      </c>
      <c r="D940" s="8" t="s">
        <v>361</v>
      </c>
      <c r="E940" s="2" t="str">
        <f>"367.13"</f>
        <v>367.13</v>
      </c>
      <c r="F940" s="9" t="s">
        <v>9</v>
      </c>
      <c r="G940" s="9">
        <v>2017</v>
      </c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0"/>
      <c r="AJ940" s="10" t="str">
        <f>"327.13"</f>
        <v>327.13</v>
      </c>
      <c r="AK940" s="10"/>
      <c r="AL940" s="10"/>
      <c r="AM940" s="10"/>
      <c r="AN940" s="10"/>
      <c r="AO940" s="10"/>
    </row>
    <row r="941" spans="1:41">
      <c r="A941" s="8">
        <v>939</v>
      </c>
      <c r="B941" s="8">
        <v>10510</v>
      </c>
      <c r="C941" s="8" t="s">
        <v>1129</v>
      </c>
      <c r="D941" s="8" t="s">
        <v>14</v>
      </c>
      <c r="E941" s="2" t="str">
        <f>"367.37"</f>
        <v>367.37</v>
      </c>
      <c r="F941" s="9" t="s">
        <v>9</v>
      </c>
      <c r="G941" s="9">
        <v>2017</v>
      </c>
      <c r="H941" s="10" t="str">
        <f>"412.98"</f>
        <v>412.98</v>
      </c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 t="str">
        <f>"327.37"</f>
        <v>327.37</v>
      </c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  <c r="AJ941" s="10"/>
      <c r="AK941" s="10"/>
      <c r="AL941" s="10"/>
      <c r="AM941" s="10"/>
      <c r="AN941" s="10"/>
      <c r="AO941" s="10"/>
    </row>
    <row r="942" spans="1:41">
      <c r="A942" s="8">
        <v>940</v>
      </c>
      <c r="B942" s="8">
        <v>1812</v>
      </c>
      <c r="C942" s="8" t="s">
        <v>1130</v>
      </c>
      <c r="D942" s="8" t="s">
        <v>94</v>
      </c>
      <c r="E942" s="2" t="str">
        <f>"369.56"</f>
        <v>369.56</v>
      </c>
      <c r="F942" s="9"/>
      <c r="G942" s="9">
        <v>2017</v>
      </c>
      <c r="H942" s="10" t="str">
        <f>"297.04"</f>
        <v>297.04</v>
      </c>
      <c r="I942" s="10"/>
      <c r="J942" s="10"/>
      <c r="K942" s="10"/>
      <c r="L942" s="10"/>
      <c r="M942" s="10"/>
      <c r="N942" s="10" t="str">
        <f>"391.55"</f>
        <v>391.55</v>
      </c>
      <c r="O942" s="10"/>
      <c r="P942" s="10"/>
      <c r="Q942" s="10"/>
      <c r="R942" s="10"/>
      <c r="S942" s="10"/>
      <c r="T942" s="10" t="str">
        <f>"413.78"</f>
        <v>413.78</v>
      </c>
      <c r="U942" s="10"/>
      <c r="V942" s="10"/>
      <c r="W942" s="10"/>
      <c r="X942" s="10"/>
      <c r="Y942" s="10"/>
      <c r="Z942" s="10"/>
      <c r="AA942" s="10" t="str">
        <f>"347.56"</f>
        <v>347.56</v>
      </c>
      <c r="AB942" s="10"/>
      <c r="AC942" s="10"/>
      <c r="AD942" s="10"/>
      <c r="AE942" s="10"/>
      <c r="AF942" s="10"/>
      <c r="AG942" s="10"/>
      <c r="AH942" s="10"/>
      <c r="AI942" s="10"/>
      <c r="AJ942" s="10"/>
      <c r="AK942" s="10"/>
      <c r="AL942" s="10"/>
      <c r="AM942" s="10"/>
      <c r="AN942" s="10"/>
      <c r="AO942" s="10"/>
    </row>
    <row r="943" spans="1:41">
      <c r="A943" s="8">
        <v>941</v>
      </c>
      <c r="B943" s="8">
        <v>11013</v>
      </c>
      <c r="C943" s="8" t="s">
        <v>1131</v>
      </c>
      <c r="D943" s="8" t="s">
        <v>14</v>
      </c>
      <c r="E943" s="2" t="str">
        <f>"369.58"</f>
        <v>369.58</v>
      </c>
      <c r="F943" s="9"/>
      <c r="G943" s="9">
        <v>2017</v>
      </c>
      <c r="H943" s="10" t="str">
        <f>"475.79"</f>
        <v>475.79</v>
      </c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 t="str">
        <f>"396.06"</f>
        <v>396.06</v>
      </c>
      <c r="V943" s="10"/>
      <c r="W943" s="10"/>
      <c r="X943" s="10" t="str">
        <f>"343.09"</f>
        <v>343.09</v>
      </c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  <c r="AJ943" s="10"/>
      <c r="AK943" s="10"/>
      <c r="AL943" s="10"/>
      <c r="AM943" s="10"/>
      <c r="AN943" s="10"/>
      <c r="AO943" s="10"/>
    </row>
    <row r="944" spans="1:41">
      <c r="A944" s="8">
        <v>942</v>
      </c>
      <c r="B944" s="8">
        <v>10186</v>
      </c>
      <c r="C944" s="8" t="s">
        <v>1132</v>
      </c>
      <c r="D944" s="8" t="s">
        <v>10</v>
      </c>
      <c r="E944" s="2" t="str">
        <f>"369.84"</f>
        <v>369.84</v>
      </c>
      <c r="F944" s="9"/>
      <c r="G944" s="9">
        <v>2017</v>
      </c>
      <c r="H944" s="10" t="str">
        <f>"496.07"</f>
        <v>496.07</v>
      </c>
      <c r="I944" s="10"/>
      <c r="J944" s="10"/>
      <c r="K944" s="10"/>
      <c r="L944" s="10"/>
      <c r="M944" s="10"/>
      <c r="N944" s="10"/>
      <c r="O944" s="10"/>
      <c r="P944" s="10"/>
      <c r="Q944" s="10" t="str">
        <f>"426.26"</f>
        <v>426.26</v>
      </c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  <c r="AJ944" s="10"/>
      <c r="AK944" s="10"/>
      <c r="AL944" s="10"/>
      <c r="AM944" s="10"/>
      <c r="AN944" s="10" t="str">
        <f>"313.41"</f>
        <v>313.41</v>
      </c>
      <c r="AO944" s="10"/>
    </row>
    <row r="945" spans="1:41">
      <c r="A945" s="8">
        <v>943</v>
      </c>
      <c r="B945" s="8">
        <v>10761</v>
      </c>
      <c r="C945" s="8" t="s">
        <v>1133</v>
      </c>
      <c r="D945" s="8" t="s">
        <v>19</v>
      </c>
      <c r="E945" s="2" t="str">
        <f>"369.97"</f>
        <v>369.97</v>
      </c>
      <c r="F945" s="9" t="s">
        <v>9</v>
      </c>
      <c r="G945" s="9">
        <v>2017</v>
      </c>
      <c r="H945" s="10" t="str">
        <f>"405.57"</f>
        <v>405.57</v>
      </c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 t="str">
        <f>"329.97"</f>
        <v>329.97</v>
      </c>
      <c r="AC945" s="10"/>
      <c r="AD945" s="10"/>
      <c r="AE945" s="10"/>
      <c r="AF945" s="10"/>
      <c r="AG945" s="10"/>
      <c r="AH945" s="10"/>
      <c r="AI945" s="10"/>
      <c r="AJ945" s="10"/>
      <c r="AK945" s="10"/>
      <c r="AL945" s="10"/>
      <c r="AM945" s="10"/>
      <c r="AN945" s="10"/>
      <c r="AO945" s="10"/>
    </row>
    <row r="946" spans="1:41">
      <c r="A946" s="8">
        <v>944</v>
      </c>
      <c r="B946" s="8">
        <v>6478</v>
      </c>
      <c r="C946" s="8" t="s">
        <v>1134</v>
      </c>
      <c r="D946" s="8" t="s">
        <v>27</v>
      </c>
      <c r="E946" s="2" t="str">
        <f>"371.48"</f>
        <v>371.48</v>
      </c>
      <c r="F946" s="9" t="s">
        <v>11</v>
      </c>
      <c r="G946" s="9">
        <v>2017</v>
      </c>
      <c r="H946" s="10" t="str">
        <f>"331.48"</f>
        <v>331.48</v>
      </c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  <c r="AK946" s="10"/>
      <c r="AL946" s="10"/>
      <c r="AM946" s="10"/>
      <c r="AN946" s="10"/>
      <c r="AO946" s="10"/>
    </row>
    <row r="947" spans="1:41">
      <c r="A947" s="8">
        <v>945</v>
      </c>
      <c r="B947" s="8">
        <v>2450</v>
      </c>
      <c r="C947" s="8" t="s">
        <v>1135</v>
      </c>
      <c r="D947" s="8" t="s">
        <v>61</v>
      </c>
      <c r="E947" s="2" t="str">
        <f>"372.06"</f>
        <v>372.06</v>
      </c>
      <c r="F947" s="9" t="s">
        <v>11</v>
      </c>
      <c r="G947" s="9">
        <v>2017</v>
      </c>
      <c r="H947" s="10" t="str">
        <f>"332.06"</f>
        <v>332.06</v>
      </c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10"/>
      <c r="AL947" s="10"/>
      <c r="AM947" s="10"/>
      <c r="AN947" s="10"/>
      <c r="AO947" s="10"/>
    </row>
    <row r="948" spans="1:41">
      <c r="A948" s="8">
        <v>946</v>
      </c>
      <c r="B948" s="8">
        <v>10418</v>
      </c>
      <c r="C948" s="8" t="s">
        <v>1136</v>
      </c>
      <c r="D948" s="8" t="s">
        <v>19</v>
      </c>
      <c r="E948" s="2" t="str">
        <f>"372.39"</f>
        <v>372.39</v>
      </c>
      <c r="F948" s="9" t="s">
        <v>9</v>
      </c>
      <c r="G948" s="9">
        <v>2017</v>
      </c>
      <c r="H948" s="10" t="str">
        <f>"433.45"</f>
        <v>433.45</v>
      </c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 t="str">
        <f>"332.39"</f>
        <v>332.39</v>
      </c>
      <c r="AC948" s="10"/>
      <c r="AD948" s="10"/>
      <c r="AE948" s="10"/>
      <c r="AF948" s="10"/>
      <c r="AG948" s="10"/>
      <c r="AH948" s="10"/>
      <c r="AI948" s="10"/>
      <c r="AJ948" s="10"/>
      <c r="AK948" s="10"/>
      <c r="AL948" s="10"/>
      <c r="AM948" s="10"/>
      <c r="AN948" s="10"/>
      <c r="AO948" s="10"/>
    </row>
    <row r="949" spans="1:41">
      <c r="A949" s="8">
        <v>947</v>
      </c>
      <c r="B949" s="8">
        <v>9929</v>
      </c>
      <c r="C949" s="8" t="s">
        <v>1137</v>
      </c>
      <c r="D949" s="8" t="s">
        <v>533</v>
      </c>
      <c r="E949" s="2" t="str">
        <f>"372.69"</f>
        <v>372.69</v>
      </c>
      <c r="F949" s="9" t="s">
        <v>11</v>
      </c>
      <c r="G949" s="9">
        <v>2017</v>
      </c>
      <c r="H949" s="10" t="str">
        <f>"332.69"</f>
        <v>332.69</v>
      </c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  <c r="AK949" s="10"/>
      <c r="AL949" s="10"/>
      <c r="AM949" s="10"/>
      <c r="AN949" s="10"/>
      <c r="AO949" s="10"/>
    </row>
    <row r="950" spans="1:41">
      <c r="A950" s="8">
        <v>948</v>
      </c>
      <c r="B950" s="8">
        <v>10522</v>
      </c>
      <c r="C950" s="8" t="s">
        <v>1138</v>
      </c>
      <c r="D950" s="8" t="s">
        <v>50</v>
      </c>
      <c r="E950" s="2" t="str">
        <f>"373.07"</f>
        <v>373.07</v>
      </c>
      <c r="F950" s="9"/>
      <c r="G950" s="9">
        <v>2017</v>
      </c>
      <c r="H950" s="10" t="str">
        <f>"550.61"</f>
        <v>550.61</v>
      </c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 t="str">
        <f>"452.36"</f>
        <v>452.36</v>
      </c>
      <c r="V950" s="10"/>
      <c r="W950" s="10" t="str">
        <f>"293.77"</f>
        <v>293.77</v>
      </c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0"/>
      <c r="AJ950" s="10"/>
      <c r="AK950" s="10"/>
      <c r="AL950" s="10"/>
      <c r="AM950" s="10"/>
      <c r="AN950" s="10"/>
      <c r="AO950" s="10"/>
    </row>
    <row r="951" spans="1:41">
      <c r="A951" s="8">
        <v>949</v>
      </c>
      <c r="B951" s="8">
        <v>11361</v>
      </c>
      <c r="C951" s="8" t="s">
        <v>1139</v>
      </c>
      <c r="D951" s="8" t="s">
        <v>80</v>
      </c>
      <c r="E951" s="2" t="str">
        <f>"375.35"</f>
        <v>375.35</v>
      </c>
      <c r="F951" s="9"/>
      <c r="G951" s="9">
        <v>2017</v>
      </c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 t="str">
        <f>"397.15"</f>
        <v>397.15</v>
      </c>
      <c r="AD951" s="10" t="str">
        <f>"353.55"</f>
        <v>353.55</v>
      </c>
      <c r="AE951" s="10"/>
      <c r="AF951" s="10"/>
      <c r="AG951" s="10"/>
      <c r="AH951" s="10"/>
      <c r="AI951" s="10"/>
      <c r="AJ951" s="10"/>
      <c r="AK951" s="10"/>
      <c r="AL951" s="10"/>
      <c r="AM951" s="10"/>
      <c r="AN951" s="10"/>
      <c r="AO951" s="10"/>
    </row>
    <row r="952" spans="1:41">
      <c r="A952" s="8">
        <v>950</v>
      </c>
      <c r="B952" s="8">
        <v>10898</v>
      </c>
      <c r="C952" s="8" t="s">
        <v>1140</v>
      </c>
      <c r="D952" s="8" t="s">
        <v>10</v>
      </c>
      <c r="E952" s="2" t="str">
        <f>"376.14"</f>
        <v>376.14</v>
      </c>
      <c r="F952" s="9"/>
      <c r="G952" s="9">
        <v>2017</v>
      </c>
      <c r="H952" s="10"/>
      <c r="I952" s="10"/>
      <c r="J952" s="10"/>
      <c r="K952" s="10"/>
      <c r="L952" s="10"/>
      <c r="M952" s="10"/>
      <c r="N952" s="10"/>
      <c r="O952" s="10"/>
      <c r="P952" s="10"/>
      <c r="Q952" s="10" t="str">
        <f>"665.43"</f>
        <v>665.43</v>
      </c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  <c r="AD952" s="10"/>
      <c r="AE952" s="10" t="str">
        <f>"375.60"</f>
        <v>375.60</v>
      </c>
      <c r="AF952" s="10"/>
      <c r="AG952" s="10"/>
      <c r="AH952" s="10"/>
      <c r="AI952" s="10"/>
      <c r="AJ952" s="10"/>
      <c r="AK952" s="10"/>
      <c r="AL952" s="10"/>
      <c r="AM952" s="10"/>
      <c r="AN952" s="10" t="str">
        <f>"376.67"</f>
        <v>376.67</v>
      </c>
      <c r="AO952" s="10"/>
    </row>
    <row r="953" spans="1:41">
      <c r="A953" s="8">
        <v>951</v>
      </c>
      <c r="B953" s="8">
        <v>8633</v>
      </c>
      <c r="C953" s="8" t="s">
        <v>1141</v>
      </c>
      <c r="D953" s="8" t="s">
        <v>10</v>
      </c>
      <c r="E953" s="2" t="str">
        <f>"376.84"</f>
        <v>376.84</v>
      </c>
      <c r="F953" s="9"/>
      <c r="G953" s="9">
        <v>2017</v>
      </c>
      <c r="H953" s="10" t="str">
        <f>"420.82"</f>
        <v>420.82</v>
      </c>
      <c r="I953" s="10"/>
      <c r="J953" s="10"/>
      <c r="K953" s="10"/>
      <c r="L953" s="10"/>
      <c r="M953" s="10"/>
      <c r="N953" s="10"/>
      <c r="O953" s="10"/>
      <c r="P953" s="10"/>
      <c r="Q953" s="10" t="str">
        <f>"417.94"</f>
        <v>417.94</v>
      </c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  <c r="AD953" s="10"/>
      <c r="AE953" s="10" t="str">
        <f>"335.73"</f>
        <v>335.73</v>
      </c>
      <c r="AF953" s="10"/>
      <c r="AG953" s="10"/>
      <c r="AH953" s="10"/>
      <c r="AI953" s="10"/>
      <c r="AJ953" s="10"/>
      <c r="AK953" s="10"/>
      <c r="AL953" s="10"/>
      <c r="AM953" s="10"/>
      <c r="AN953" s="10"/>
      <c r="AO953" s="10"/>
    </row>
    <row r="954" spans="1:41">
      <c r="A954" s="8">
        <v>952</v>
      </c>
      <c r="B954" s="8">
        <v>8614</v>
      </c>
      <c r="C954" s="8" t="s">
        <v>1142</v>
      </c>
      <c r="D954" s="8" t="s">
        <v>10</v>
      </c>
      <c r="E954" s="2" t="str">
        <f>"376.94"</f>
        <v>376.94</v>
      </c>
      <c r="F954" s="9"/>
      <c r="G954" s="9">
        <v>2017</v>
      </c>
      <c r="H954" s="10" t="str">
        <f>"402.84"</f>
        <v>402.84</v>
      </c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  <c r="AD954" s="10"/>
      <c r="AE954" s="10" t="str">
        <f>"321.53"</f>
        <v>321.53</v>
      </c>
      <c r="AF954" s="10" t="str">
        <f>"432.34"</f>
        <v>432.34</v>
      </c>
      <c r="AG954" s="10"/>
      <c r="AH954" s="10"/>
      <c r="AI954" s="10"/>
      <c r="AJ954" s="10"/>
      <c r="AK954" s="10"/>
      <c r="AL954" s="10"/>
      <c r="AM954" s="10"/>
      <c r="AN954" s="10"/>
      <c r="AO954" s="10"/>
    </row>
    <row r="955" spans="1:41">
      <c r="A955" s="8">
        <v>953</v>
      </c>
      <c r="B955" s="8">
        <v>10439</v>
      </c>
      <c r="C955" s="8" t="s">
        <v>1143</v>
      </c>
      <c r="D955" s="8" t="s">
        <v>19</v>
      </c>
      <c r="E955" s="2" t="str">
        <f>"377.89"</f>
        <v>377.89</v>
      </c>
      <c r="F955" s="9"/>
      <c r="G955" s="9">
        <v>2017</v>
      </c>
      <c r="H955" s="10" t="str">
        <f>"577.89"</f>
        <v>577.89</v>
      </c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 t="str">
        <f>"472.54"</f>
        <v>472.54</v>
      </c>
      <c r="AC955" s="10"/>
      <c r="AD955" s="10"/>
      <c r="AE955" s="10"/>
      <c r="AF955" s="10"/>
      <c r="AG955" s="10"/>
      <c r="AH955" s="10"/>
      <c r="AI955" s="10"/>
      <c r="AJ955" s="10"/>
      <c r="AK955" s="10"/>
      <c r="AL955" s="10"/>
      <c r="AM955" s="10" t="str">
        <f>"478.11"</f>
        <v>478.11</v>
      </c>
      <c r="AN955" s="10" t="str">
        <f>"283.23"</f>
        <v>283.23</v>
      </c>
      <c r="AO955" s="10"/>
    </row>
    <row r="956" spans="1:41">
      <c r="A956" s="8">
        <v>954</v>
      </c>
      <c r="B956" s="8">
        <v>10718</v>
      </c>
      <c r="C956" s="8" t="s">
        <v>1144</v>
      </c>
      <c r="D956" s="8" t="s">
        <v>19</v>
      </c>
      <c r="E956" s="2" t="str">
        <f>"378.33"</f>
        <v>378.33</v>
      </c>
      <c r="F956" s="9" t="s">
        <v>9</v>
      </c>
      <c r="G956" s="9">
        <v>2017</v>
      </c>
      <c r="H956" s="10" t="str">
        <f>"553.67"</f>
        <v>553.67</v>
      </c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 t="str">
        <f>"338.33"</f>
        <v>338.33</v>
      </c>
      <c r="AC956" s="10"/>
      <c r="AD956" s="10"/>
      <c r="AE956" s="10"/>
      <c r="AF956" s="10"/>
      <c r="AG956" s="10"/>
      <c r="AH956" s="10"/>
      <c r="AI956" s="10"/>
      <c r="AJ956" s="10"/>
      <c r="AK956" s="10"/>
      <c r="AL956" s="10"/>
      <c r="AM956" s="10"/>
      <c r="AN956" s="10"/>
      <c r="AO956" s="10"/>
    </row>
    <row r="957" spans="1:41">
      <c r="A957" s="8">
        <v>955</v>
      </c>
      <c r="B957" s="8">
        <v>1789</v>
      </c>
      <c r="C957" s="8" t="s">
        <v>1145</v>
      </c>
      <c r="D957" s="8" t="s">
        <v>21</v>
      </c>
      <c r="E957" s="2" t="str">
        <f>"378.78"</f>
        <v>378.78</v>
      </c>
      <c r="F957" s="9" t="s">
        <v>11</v>
      </c>
      <c r="G957" s="9">
        <v>2017</v>
      </c>
      <c r="H957" s="10" t="str">
        <f>"338.78"</f>
        <v>338.78</v>
      </c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  <c r="AJ957" s="10"/>
      <c r="AK957" s="10"/>
      <c r="AL957" s="10"/>
      <c r="AM957" s="10"/>
      <c r="AN957" s="10"/>
      <c r="AO957" s="10"/>
    </row>
    <row r="958" spans="1:41">
      <c r="A958" s="8">
        <v>956</v>
      </c>
      <c r="B958" s="8">
        <v>6548</v>
      </c>
      <c r="C958" s="8" t="s">
        <v>1146</v>
      </c>
      <c r="D958" s="8" t="s">
        <v>15</v>
      </c>
      <c r="E958" s="2" t="str">
        <f>"378.98"</f>
        <v>378.98</v>
      </c>
      <c r="F958" s="9" t="s">
        <v>11</v>
      </c>
      <c r="G958" s="9">
        <v>2017</v>
      </c>
      <c r="H958" s="10" t="str">
        <f>"338.98"</f>
        <v>338.98</v>
      </c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0"/>
      <c r="AJ958" s="10"/>
      <c r="AK958" s="10"/>
      <c r="AL958" s="10"/>
      <c r="AM958" s="10"/>
      <c r="AN958" s="10"/>
      <c r="AO958" s="10"/>
    </row>
    <row r="959" spans="1:41">
      <c r="A959" s="8">
        <v>957</v>
      </c>
      <c r="B959" s="8">
        <v>10626</v>
      </c>
      <c r="C959" s="8" t="s">
        <v>1147</v>
      </c>
      <c r="D959" s="8" t="s">
        <v>10</v>
      </c>
      <c r="E959" s="2" t="str">
        <f>"379.03"</f>
        <v>379.03</v>
      </c>
      <c r="F959" s="9"/>
      <c r="G959" s="9">
        <v>2017</v>
      </c>
      <c r="H959" s="10" t="str">
        <f>"599.49"</f>
        <v>599.49</v>
      </c>
      <c r="I959" s="10"/>
      <c r="J959" s="10"/>
      <c r="K959" s="10"/>
      <c r="L959" s="10"/>
      <c r="M959" s="10"/>
      <c r="N959" s="10"/>
      <c r="O959" s="10"/>
      <c r="P959" s="10"/>
      <c r="Q959" s="10" t="str">
        <f>"407.72"</f>
        <v>407.72</v>
      </c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  <c r="AD959" s="10"/>
      <c r="AE959" s="10" t="str">
        <f>"350.34"</f>
        <v>350.34</v>
      </c>
      <c r="AF959" s="10"/>
      <c r="AG959" s="10"/>
      <c r="AH959" s="10"/>
      <c r="AI959" s="10"/>
      <c r="AJ959" s="10"/>
      <c r="AK959" s="10"/>
      <c r="AL959" s="10"/>
      <c r="AM959" s="10"/>
      <c r="AN959" s="10"/>
      <c r="AO959" s="10"/>
    </row>
    <row r="960" spans="1:41">
      <c r="A960" s="8">
        <v>958</v>
      </c>
      <c r="B960" s="8">
        <v>10882</v>
      </c>
      <c r="C960" s="8" t="s">
        <v>1148</v>
      </c>
      <c r="D960" s="8" t="s">
        <v>10</v>
      </c>
      <c r="E960" s="2" t="str">
        <f>"379.59"</f>
        <v>379.59</v>
      </c>
      <c r="F960" s="9"/>
      <c r="G960" s="9">
        <v>2017</v>
      </c>
      <c r="H960" s="10"/>
      <c r="I960" s="10"/>
      <c r="J960" s="10"/>
      <c r="K960" s="10"/>
      <c r="L960" s="10"/>
      <c r="M960" s="10"/>
      <c r="N960" s="10"/>
      <c r="O960" s="10"/>
      <c r="P960" s="10"/>
      <c r="Q960" s="10" t="str">
        <f>"493.35"</f>
        <v>493.35</v>
      </c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  <c r="AD960" s="10"/>
      <c r="AE960" s="10" t="str">
        <f>"421.95"</f>
        <v>421.95</v>
      </c>
      <c r="AF960" s="10"/>
      <c r="AG960" s="10"/>
      <c r="AH960" s="10"/>
      <c r="AI960" s="10"/>
      <c r="AJ960" s="10"/>
      <c r="AK960" s="10"/>
      <c r="AL960" s="10"/>
      <c r="AM960" s="10"/>
      <c r="AN960" s="10" t="str">
        <f>"337.23"</f>
        <v>337.23</v>
      </c>
      <c r="AO960" s="10"/>
    </row>
    <row r="961" spans="1:41">
      <c r="A961" s="8">
        <v>959</v>
      </c>
      <c r="B961" s="8">
        <v>7299</v>
      </c>
      <c r="C961" s="8" t="s">
        <v>1149</v>
      </c>
      <c r="D961" s="8" t="s">
        <v>40</v>
      </c>
      <c r="E961" s="2" t="str">
        <f>"380.32"</f>
        <v>380.32</v>
      </c>
      <c r="F961" s="9"/>
      <c r="G961" s="9">
        <v>2017</v>
      </c>
      <c r="H961" s="10" t="str">
        <f>"375.28"</f>
        <v>375.28</v>
      </c>
      <c r="I961" s="10"/>
      <c r="J961" s="10"/>
      <c r="K961" s="10"/>
      <c r="L961" s="10"/>
      <c r="M961" s="10"/>
      <c r="N961" s="10"/>
      <c r="O961" s="10"/>
      <c r="P961" s="10" t="str">
        <f>"350.94"</f>
        <v>350.94</v>
      </c>
      <c r="Q961" s="10"/>
      <c r="R961" s="10"/>
      <c r="S961" s="10"/>
      <c r="T961" s="10" t="str">
        <f>"409.69"</f>
        <v>409.69</v>
      </c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  <c r="AJ961" s="10"/>
      <c r="AK961" s="10"/>
      <c r="AL961" s="10"/>
      <c r="AM961" s="10"/>
      <c r="AN961" s="10"/>
      <c r="AO961" s="10"/>
    </row>
    <row r="962" spans="1:41">
      <c r="A962" s="8">
        <v>960</v>
      </c>
      <c r="B962" s="8">
        <v>2396</v>
      </c>
      <c r="C962" s="8" t="s">
        <v>1150</v>
      </c>
      <c r="D962" s="8" t="s">
        <v>10</v>
      </c>
      <c r="E962" s="2" t="str">
        <f>"380.48"</f>
        <v>380.48</v>
      </c>
      <c r="F962" s="9"/>
      <c r="G962" s="9">
        <v>2017</v>
      </c>
      <c r="H962" s="10" t="str">
        <f>"291.49"</f>
        <v>291.49</v>
      </c>
      <c r="I962" s="10"/>
      <c r="J962" s="10"/>
      <c r="K962" s="10"/>
      <c r="L962" s="10"/>
      <c r="M962" s="10"/>
      <c r="N962" s="10"/>
      <c r="O962" s="10"/>
      <c r="P962" s="10"/>
      <c r="Q962" s="10" t="str">
        <f>"316.09"</f>
        <v>316.09</v>
      </c>
      <c r="R962" s="10" t="str">
        <f>"444.86"</f>
        <v>444.86</v>
      </c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0"/>
      <c r="AJ962" s="10"/>
      <c r="AK962" s="10"/>
      <c r="AL962" s="10"/>
      <c r="AM962" s="10"/>
      <c r="AN962" s="10"/>
      <c r="AO962" s="10"/>
    </row>
    <row r="963" spans="1:41">
      <c r="A963" s="8">
        <v>961</v>
      </c>
      <c r="B963" s="8">
        <v>2271</v>
      </c>
      <c r="C963" s="8" t="s">
        <v>1151</v>
      </c>
      <c r="D963" s="8" t="s">
        <v>10</v>
      </c>
      <c r="E963" s="2" t="str">
        <f>"381.24"</f>
        <v>381.24</v>
      </c>
      <c r="F963" s="9"/>
      <c r="G963" s="9">
        <v>2017</v>
      </c>
      <c r="H963" s="10" t="str">
        <f>"342.09"</f>
        <v>342.09</v>
      </c>
      <c r="I963" s="10"/>
      <c r="J963" s="10"/>
      <c r="K963" s="10"/>
      <c r="L963" s="10"/>
      <c r="M963" s="10"/>
      <c r="N963" s="10"/>
      <c r="O963" s="10"/>
      <c r="P963" s="10"/>
      <c r="Q963" s="10" t="str">
        <f>"339.81"</f>
        <v>339.81</v>
      </c>
      <c r="R963" s="10" t="str">
        <f>"422.66"</f>
        <v>422.66</v>
      </c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0"/>
      <c r="AJ963" s="10"/>
      <c r="AK963" s="10"/>
      <c r="AL963" s="10"/>
      <c r="AM963" s="10"/>
      <c r="AN963" s="10"/>
      <c r="AO963" s="10"/>
    </row>
    <row r="964" spans="1:41">
      <c r="A964" s="8">
        <v>962</v>
      </c>
      <c r="B964" s="8">
        <v>10849</v>
      </c>
      <c r="C964" s="8" t="s">
        <v>1152</v>
      </c>
      <c r="D964" s="8" t="s">
        <v>10</v>
      </c>
      <c r="E964" s="2" t="str">
        <f>"381.26"</f>
        <v>381.26</v>
      </c>
      <c r="F964" s="9"/>
      <c r="G964" s="9">
        <v>2017</v>
      </c>
      <c r="H964" s="10" t="str">
        <f>"724.10"</f>
        <v>724.10</v>
      </c>
      <c r="I964" s="10"/>
      <c r="J964" s="10"/>
      <c r="K964" s="10"/>
      <c r="L964" s="10"/>
      <c r="M964" s="10"/>
      <c r="N964" s="10"/>
      <c r="O964" s="10"/>
      <c r="P964" s="10"/>
      <c r="Q964" s="10" t="str">
        <f>"489.94"</f>
        <v>489.94</v>
      </c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  <c r="AD964" s="10"/>
      <c r="AE964" s="10" t="str">
        <f>"402.78"</f>
        <v>402.78</v>
      </c>
      <c r="AF964" s="10"/>
      <c r="AG964" s="10"/>
      <c r="AH964" s="10"/>
      <c r="AI964" s="10"/>
      <c r="AJ964" s="10"/>
      <c r="AK964" s="10"/>
      <c r="AL964" s="10"/>
      <c r="AM964" s="10"/>
      <c r="AN964" s="10" t="str">
        <f>"359.73"</f>
        <v>359.73</v>
      </c>
      <c r="AO964" s="10"/>
    </row>
    <row r="965" spans="1:41">
      <c r="A965" s="8">
        <v>963</v>
      </c>
      <c r="B965" s="8">
        <v>5735</v>
      </c>
      <c r="C965" s="8" t="s">
        <v>1153</v>
      </c>
      <c r="D965" s="8" t="s">
        <v>14</v>
      </c>
      <c r="E965" s="2" t="str">
        <f>"381.66"</f>
        <v>381.66</v>
      </c>
      <c r="F965" s="9"/>
      <c r="G965" s="9">
        <v>2017</v>
      </c>
      <c r="H965" s="10" t="str">
        <f>"410.40"</f>
        <v>410.40</v>
      </c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 t="str">
        <f>"498.34"</f>
        <v>498.34</v>
      </c>
      <c r="T965" s="10"/>
      <c r="U965" s="10"/>
      <c r="V965" s="10"/>
      <c r="W965" s="10"/>
      <c r="X965" s="10"/>
      <c r="Y965" s="10"/>
      <c r="Z965" s="10"/>
      <c r="AA965" s="10"/>
      <c r="AB965" s="10"/>
      <c r="AC965" s="10" t="str">
        <f>"401.95"</f>
        <v>401.95</v>
      </c>
      <c r="AD965" s="10" t="str">
        <f>"395.47"</f>
        <v>395.47</v>
      </c>
      <c r="AE965" s="10"/>
      <c r="AF965" s="10"/>
      <c r="AG965" s="10"/>
      <c r="AH965" s="10"/>
      <c r="AI965" s="10"/>
      <c r="AJ965" s="10" t="str">
        <f>"367.84"</f>
        <v>367.84</v>
      </c>
      <c r="AK965" s="10"/>
      <c r="AL965" s="10" t="str">
        <f>"444.30"</f>
        <v>444.30</v>
      </c>
      <c r="AM965" s="10"/>
      <c r="AN965" s="10"/>
      <c r="AO965" s="10"/>
    </row>
    <row r="966" spans="1:41">
      <c r="A966" s="8">
        <v>964</v>
      </c>
      <c r="B966" s="8">
        <v>10153</v>
      </c>
      <c r="C966" s="8" t="s">
        <v>1154</v>
      </c>
      <c r="D966" s="8" t="s">
        <v>10</v>
      </c>
      <c r="E966" s="2" t="str">
        <f>"381.72"</f>
        <v>381.72</v>
      </c>
      <c r="F966" s="9"/>
      <c r="G966" s="9">
        <v>2017</v>
      </c>
      <c r="H966" s="10" t="str">
        <f>"507.52"</f>
        <v>507.52</v>
      </c>
      <c r="I966" s="10"/>
      <c r="J966" s="10"/>
      <c r="K966" s="10"/>
      <c r="L966" s="10"/>
      <c r="M966" s="10"/>
      <c r="N966" s="10"/>
      <c r="O966" s="10"/>
      <c r="P966" s="10"/>
      <c r="Q966" s="10" t="str">
        <f>"455.17"</f>
        <v>455.17</v>
      </c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/>
      <c r="AE966" s="10" t="str">
        <f>"390.61"</f>
        <v>390.61</v>
      </c>
      <c r="AF966" s="10"/>
      <c r="AG966" s="10"/>
      <c r="AH966" s="10"/>
      <c r="AI966" s="10"/>
      <c r="AJ966" s="10"/>
      <c r="AK966" s="10"/>
      <c r="AL966" s="10" t="str">
        <f>"477.49"</f>
        <v>477.49</v>
      </c>
      <c r="AM966" s="10"/>
      <c r="AN966" s="10" t="str">
        <f>"372.83"</f>
        <v>372.83</v>
      </c>
      <c r="AO966" s="10"/>
    </row>
    <row r="967" spans="1:41">
      <c r="A967" s="8">
        <v>965</v>
      </c>
      <c r="B967" s="8">
        <v>10426</v>
      </c>
      <c r="C967" s="8" t="s">
        <v>1155</v>
      </c>
      <c r="D967" s="8" t="s">
        <v>19</v>
      </c>
      <c r="E967" s="2" t="str">
        <f>"381.75"</f>
        <v>381.75</v>
      </c>
      <c r="F967" s="9"/>
      <c r="G967" s="9">
        <v>2017</v>
      </c>
      <c r="H967" s="10" t="str">
        <f>"444.91"</f>
        <v>444.91</v>
      </c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  <c r="AJ967" s="10"/>
      <c r="AK967" s="10"/>
      <c r="AL967" s="10"/>
      <c r="AM967" s="10" t="str">
        <f>"429.97"</f>
        <v>429.97</v>
      </c>
      <c r="AN967" s="10" t="str">
        <f>"333.52"</f>
        <v>333.52</v>
      </c>
      <c r="AO967" s="10"/>
    </row>
    <row r="968" spans="1:41">
      <c r="A968" s="8">
        <v>966</v>
      </c>
      <c r="B968" s="8">
        <v>3250</v>
      </c>
      <c r="C968" s="8" t="s">
        <v>1156</v>
      </c>
      <c r="D968" s="8" t="s">
        <v>51</v>
      </c>
      <c r="E968" s="2" t="str">
        <f>"382.17"</f>
        <v>382.17</v>
      </c>
      <c r="F968" s="9"/>
      <c r="G968" s="9">
        <v>2017</v>
      </c>
      <c r="H968" s="10" t="str">
        <f>"501.33"</f>
        <v>501.33</v>
      </c>
      <c r="I968" s="10"/>
      <c r="J968" s="10"/>
      <c r="K968" s="10"/>
      <c r="L968" s="10"/>
      <c r="M968" s="10"/>
      <c r="N968" s="10" t="str">
        <f>"374.95"</f>
        <v>374.95</v>
      </c>
      <c r="O968" s="10"/>
      <c r="P968" s="10" t="str">
        <f>"389.39"</f>
        <v>389.39</v>
      </c>
      <c r="Q968" s="10"/>
      <c r="R968" s="10"/>
      <c r="S968" s="10" t="str">
        <f>"515.30"</f>
        <v>515.30</v>
      </c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0"/>
      <c r="AJ968" s="10"/>
      <c r="AK968" s="10"/>
      <c r="AL968" s="10"/>
      <c r="AM968" s="10"/>
      <c r="AN968" s="10"/>
      <c r="AO968" s="10"/>
    </row>
    <row r="969" spans="1:41">
      <c r="A969" s="8">
        <v>967</v>
      </c>
      <c r="B969" s="8">
        <v>11356</v>
      </c>
      <c r="C969" s="8" t="s">
        <v>1157</v>
      </c>
      <c r="D969" s="8" t="s">
        <v>80</v>
      </c>
      <c r="E969" s="2" t="str">
        <f>"382.69"</f>
        <v>382.69</v>
      </c>
      <c r="F969" s="9"/>
      <c r="G969" s="9">
        <v>2017</v>
      </c>
      <c r="H969" s="10"/>
      <c r="I969" s="10"/>
      <c r="J969" s="10"/>
      <c r="K969" s="10"/>
      <c r="L969" s="10"/>
      <c r="M969" s="10" t="str">
        <f>"387.69"</f>
        <v>387.69</v>
      </c>
      <c r="N969" s="10"/>
      <c r="O969" s="10" t="str">
        <f>"406.46"</f>
        <v>406.46</v>
      </c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 t="str">
        <f>"377.68"</f>
        <v>377.68</v>
      </c>
      <c r="AA969" s="10"/>
      <c r="AB969" s="10"/>
      <c r="AC969" s="10"/>
      <c r="AD969" s="10"/>
      <c r="AE969" s="10"/>
      <c r="AF969" s="10"/>
      <c r="AG969" s="10"/>
      <c r="AH969" s="10"/>
      <c r="AI969" s="10"/>
      <c r="AJ969" s="10"/>
      <c r="AK969" s="10"/>
      <c r="AL969" s="10"/>
      <c r="AM969" s="10"/>
      <c r="AN969" s="10"/>
      <c r="AO969" s="10"/>
    </row>
    <row r="970" spans="1:41">
      <c r="A970" s="8">
        <v>968</v>
      </c>
      <c r="B970" s="8">
        <v>10481</v>
      </c>
      <c r="C970" s="8" t="s">
        <v>1158</v>
      </c>
      <c r="D970" s="8" t="s">
        <v>19</v>
      </c>
      <c r="E970" s="2" t="str">
        <f>"384.45"</f>
        <v>384.45</v>
      </c>
      <c r="F970" s="9" t="s">
        <v>9</v>
      </c>
      <c r="G970" s="9">
        <v>2017</v>
      </c>
      <c r="H970" s="10" t="str">
        <f>"455.39"</f>
        <v>455.39</v>
      </c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 t="str">
        <f>"344.45"</f>
        <v>344.45</v>
      </c>
      <c r="AC970" s="10"/>
      <c r="AD970" s="10"/>
      <c r="AE970" s="10"/>
      <c r="AF970" s="10"/>
      <c r="AG970" s="10"/>
      <c r="AH970" s="10"/>
      <c r="AI970" s="10"/>
      <c r="AJ970" s="10"/>
      <c r="AK970" s="10"/>
      <c r="AL970" s="10"/>
      <c r="AM970" s="10"/>
      <c r="AN970" s="10"/>
      <c r="AO970" s="10"/>
    </row>
    <row r="971" spans="1:41">
      <c r="A971" s="8">
        <v>969</v>
      </c>
      <c r="B971" s="8">
        <v>531</v>
      </c>
      <c r="C971" s="8" t="s">
        <v>1159</v>
      </c>
      <c r="D971" s="8" t="s">
        <v>331</v>
      </c>
      <c r="E971" s="2" t="str">
        <f>"384.48"</f>
        <v>384.48</v>
      </c>
      <c r="F971" s="9" t="s">
        <v>11</v>
      </c>
      <c r="G971" s="9">
        <v>2017</v>
      </c>
      <c r="H971" s="10" t="str">
        <f>"344.48"</f>
        <v>344.48</v>
      </c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0"/>
      <c r="AJ971" s="10"/>
      <c r="AK971" s="10"/>
      <c r="AL971" s="10"/>
      <c r="AM971" s="10"/>
      <c r="AN971" s="10"/>
      <c r="AO971" s="10"/>
    </row>
    <row r="972" spans="1:41">
      <c r="A972" s="8">
        <v>970</v>
      </c>
      <c r="B972" s="8">
        <v>2332</v>
      </c>
      <c r="C972" s="8" t="s">
        <v>1160</v>
      </c>
      <c r="D972" s="8" t="s">
        <v>10</v>
      </c>
      <c r="E972" s="2" t="str">
        <f>"385.31"</f>
        <v>385.31</v>
      </c>
      <c r="F972" s="9"/>
      <c r="G972" s="9">
        <v>2017</v>
      </c>
      <c r="H972" s="10" t="str">
        <f>"289.80"</f>
        <v>289.80</v>
      </c>
      <c r="I972" s="10"/>
      <c r="J972" s="10"/>
      <c r="K972" s="10"/>
      <c r="L972" s="10"/>
      <c r="M972" s="10"/>
      <c r="N972" s="10"/>
      <c r="O972" s="10"/>
      <c r="P972" s="10"/>
      <c r="Q972" s="10" t="str">
        <f>"299.59"</f>
        <v>299.59</v>
      </c>
      <c r="R972" s="10" t="str">
        <f>"471.03"</f>
        <v>471.03</v>
      </c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0"/>
      <c r="AJ972" s="10"/>
      <c r="AK972" s="10"/>
      <c r="AL972" s="10"/>
      <c r="AM972" s="10"/>
      <c r="AN972" s="10"/>
      <c r="AO972" s="10"/>
    </row>
    <row r="973" spans="1:41">
      <c r="A973" s="8">
        <v>971</v>
      </c>
      <c r="B973" s="8">
        <v>11049</v>
      </c>
      <c r="C973" s="8" t="s">
        <v>1161</v>
      </c>
      <c r="D973" s="8" t="s">
        <v>12</v>
      </c>
      <c r="E973" s="2" t="str">
        <f>"385.42"</f>
        <v>385.42</v>
      </c>
      <c r="F973" s="9" t="s">
        <v>9</v>
      </c>
      <c r="G973" s="9">
        <v>2017</v>
      </c>
      <c r="H973" s="10" t="str">
        <f>"411.45"</f>
        <v>411.45</v>
      </c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 t="str">
        <f>"345.42"</f>
        <v>345.42</v>
      </c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0"/>
      <c r="AJ973" s="10"/>
      <c r="AK973" s="10"/>
      <c r="AL973" s="10"/>
      <c r="AM973" s="10"/>
      <c r="AN973" s="10"/>
      <c r="AO973" s="10"/>
    </row>
    <row r="974" spans="1:41">
      <c r="A974" s="8">
        <v>972</v>
      </c>
      <c r="B974" s="8">
        <v>10261</v>
      </c>
      <c r="C974" s="8" t="s">
        <v>1162</v>
      </c>
      <c r="D974" s="8" t="s">
        <v>12</v>
      </c>
      <c r="E974" s="2" t="str">
        <f>"386.17"</f>
        <v>386.17</v>
      </c>
      <c r="F974" s="9" t="s">
        <v>9</v>
      </c>
      <c r="G974" s="9">
        <v>2017</v>
      </c>
      <c r="H974" s="10" t="str">
        <f>"377.88"</f>
        <v>377.88</v>
      </c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 t="str">
        <f>"346.17"</f>
        <v>346.17</v>
      </c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0"/>
      <c r="AJ974" s="10"/>
      <c r="AK974" s="10"/>
      <c r="AL974" s="10"/>
      <c r="AM974" s="10"/>
      <c r="AN974" s="10"/>
      <c r="AO974" s="10"/>
    </row>
    <row r="975" spans="1:41">
      <c r="A975" s="8">
        <v>973</v>
      </c>
      <c r="B975" s="8">
        <v>10621</v>
      </c>
      <c r="C975" s="8" t="s">
        <v>1163</v>
      </c>
      <c r="D975" s="8" t="s">
        <v>10</v>
      </c>
      <c r="E975" s="2" t="str">
        <f>"386.40"</f>
        <v>386.40</v>
      </c>
      <c r="F975" s="9"/>
      <c r="G975" s="9">
        <v>2017</v>
      </c>
      <c r="H975" s="10" t="str">
        <f>"470.21"</f>
        <v>470.21</v>
      </c>
      <c r="I975" s="10"/>
      <c r="J975" s="10"/>
      <c r="K975" s="10"/>
      <c r="L975" s="10"/>
      <c r="M975" s="10"/>
      <c r="N975" s="10"/>
      <c r="O975" s="10"/>
      <c r="P975" s="10"/>
      <c r="Q975" s="10" t="str">
        <f>"332.99"</f>
        <v>332.99</v>
      </c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  <c r="AD975" s="10"/>
      <c r="AE975" s="10" t="str">
        <f>"439.81"</f>
        <v>439.81</v>
      </c>
      <c r="AF975" s="10"/>
      <c r="AG975" s="10"/>
      <c r="AH975" s="10"/>
      <c r="AI975" s="10"/>
      <c r="AJ975" s="10"/>
      <c r="AK975" s="10"/>
      <c r="AL975" s="10"/>
      <c r="AM975" s="10"/>
      <c r="AN975" s="10"/>
      <c r="AO975" s="10"/>
    </row>
    <row r="976" spans="1:41">
      <c r="A976" s="8">
        <v>974</v>
      </c>
      <c r="B976" s="8">
        <v>5733</v>
      </c>
      <c r="C976" s="8" t="s">
        <v>1164</v>
      </c>
      <c r="D976" s="8" t="s">
        <v>336</v>
      </c>
      <c r="E976" s="2" t="str">
        <f>"386.78"</f>
        <v>386.78</v>
      </c>
      <c r="F976" s="9" t="s">
        <v>11</v>
      </c>
      <c r="G976" s="9">
        <v>2017</v>
      </c>
      <c r="H976" s="10" t="str">
        <f>"346.78"</f>
        <v>346.78</v>
      </c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0"/>
      <c r="AJ976" s="10"/>
      <c r="AK976" s="10"/>
      <c r="AL976" s="10"/>
      <c r="AM976" s="10"/>
      <c r="AN976" s="10"/>
      <c r="AO976" s="10"/>
    </row>
    <row r="977" spans="1:41">
      <c r="A977" s="8">
        <v>975</v>
      </c>
      <c r="B977" s="8">
        <v>2095</v>
      </c>
      <c r="C977" s="8" t="s">
        <v>1165</v>
      </c>
      <c r="D977" s="8" t="s">
        <v>63</v>
      </c>
      <c r="E977" s="2" t="str">
        <f>"387.00"</f>
        <v>387.00</v>
      </c>
      <c r="F977" s="9" t="s">
        <v>9</v>
      </c>
      <c r="G977" s="9">
        <v>2017</v>
      </c>
      <c r="H977" s="10" t="str">
        <f>"404.28"</f>
        <v>404.28</v>
      </c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0"/>
      <c r="AJ977" s="10"/>
      <c r="AK977" s="10" t="str">
        <f>"347.00"</f>
        <v>347.00</v>
      </c>
      <c r="AL977" s="10"/>
      <c r="AM977" s="10"/>
      <c r="AN977" s="10"/>
      <c r="AO977" s="10"/>
    </row>
    <row r="978" spans="1:41">
      <c r="A978" s="8">
        <v>976</v>
      </c>
      <c r="B978" s="8">
        <v>10122</v>
      </c>
      <c r="C978" s="8" t="s">
        <v>1166</v>
      </c>
      <c r="D978" s="8" t="s">
        <v>10</v>
      </c>
      <c r="E978" s="2" t="str">
        <f>"387.30"</f>
        <v>387.30</v>
      </c>
      <c r="F978" s="9"/>
      <c r="G978" s="9">
        <v>2017</v>
      </c>
      <c r="H978" s="10" t="str">
        <f>"437.60"</f>
        <v>437.60</v>
      </c>
      <c r="I978" s="10"/>
      <c r="J978" s="10"/>
      <c r="K978" s="10"/>
      <c r="L978" s="10"/>
      <c r="M978" s="10"/>
      <c r="N978" s="10"/>
      <c r="O978" s="10"/>
      <c r="P978" s="10"/>
      <c r="Q978" s="10" t="str">
        <f>"455.17"</f>
        <v>455.17</v>
      </c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  <c r="AD978" s="10"/>
      <c r="AE978" s="10" t="str">
        <f>"369.10"</f>
        <v>369.10</v>
      </c>
      <c r="AF978" s="10"/>
      <c r="AG978" s="10"/>
      <c r="AH978" s="10"/>
      <c r="AI978" s="10"/>
      <c r="AJ978" s="10"/>
      <c r="AK978" s="10"/>
      <c r="AL978" s="10" t="str">
        <f>"405.49"</f>
        <v>405.49</v>
      </c>
      <c r="AM978" s="10"/>
      <c r="AN978" s="10"/>
      <c r="AO978" s="10"/>
    </row>
    <row r="979" spans="1:41">
      <c r="A979" s="8">
        <v>977</v>
      </c>
      <c r="B979" s="8">
        <v>11062</v>
      </c>
      <c r="C979" s="8" t="s">
        <v>1167</v>
      </c>
      <c r="D979" s="8" t="s">
        <v>50</v>
      </c>
      <c r="E979" s="2" t="str">
        <f>"387.59"</f>
        <v>387.59</v>
      </c>
      <c r="F979" s="9"/>
      <c r="G979" s="9">
        <v>2017</v>
      </c>
      <c r="H979" s="10" t="str">
        <f>"750.18"</f>
        <v>750.18</v>
      </c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 t="str">
        <f>"481.40"</f>
        <v>481.40</v>
      </c>
      <c r="V979" s="10"/>
      <c r="W979" s="10" t="str">
        <f>"293.77"</f>
        <v>293.77</v>
      </c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0"/>
      <c r="AJ979" s="10"/>
      <c r="AK979" s="10"/>
      <c r="AL979" s="10"/>
      <c r="AM979" s="10"/>
      <c r="AN979" s="10"/>
      <c r="AO979" s="10"/>
    </row>
    <row r="980" spans="1:41">
      <c r="A980" s="8">
        <v>978</v>
      </c>
      <c r="B980" s="8">
        <v>5821</v>
      </c>
      <c r="C980" s="8" t="s">
        <v>1168</v>
      </c>
      <c r="D980" s="8" t="s">
        <v>68</v>
      </c>
      <c r="E980" s="2" t="str">
        <f>"388.36"</f>
        <v>388.36</v>
      </c>
      <c r="F980" s="9" t="s">
        <v>11</v>
      </c>
      <c r="G980" s="9">
        <v>2017</v>
      </c>
      <c r="H980" s="10" t="str">
        <f>"348.36"</f>
        <v>348.36</v>
      </c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0"/>
      <c r="AJ980" s="10"/>
      <c r="AK980" s="10"/>
      <c r="AL980" s="10"/>
      <c r="AM980" s="10"/>
      <c r="AN980" s="10"/>
      <c r="AO980" s="10"/>
    </row>
    <row r="981" spans="1:41">
      <c r="A981" s="8">
        <v>979</v>
      </c>
      <c r="B981" s="8">
        <v>10636</v>
      </c>
      <c r="C981" s="8" t="s">
        <v>1169</v>
      </c>
      <c r="D981" s="8" t="s">
        <v>10</v>
      </c>
      <c r="E981" s="2" t="str">
        <f>"388.60"</f>
        <v>388.60</v>
      </c>
      <c r="F981" s="9"/>
      <c r="G981" s="9">
        <v>2017</v>
      </c>
      <c r="H981" s="10" t="str">
        <f>"311.65"</f>
        <v>311.65</v>
      </c>
      <c r="I981" s="10"/>
      <c r="J981" s="10"/>
      <c r="K981" s="10"/>
      <c r="L981" s="10"/>
      <c r="M981" s="10"/>
      <c r="N981" s="10"/>
      <c r="O981" s="10"/>
      <c r="P981" s="10"/>
      <c r="Q981" s="10" t="str">
        <f>"320.72"</f>
        <v>320.72</v>
      </c>
      <c r="R981" s="10" t="str">
        <f>"456.47"</f>
        <v>456.47</v>
      </c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0"/>
      <c r="AJ981" s="10"/>
      <c r="AK981" s="10"/>
      <c r="AL981" s="10"/>
      <c r="AM981" s="10"/>
      <c r="AN981" s="10"/>
      <c r="AO981" s="10"/>
    </row>
    <row r="982" spans="1:41">
      <c r="A982" s="8">
        <v>980</v>
      </c>
      <c r="B982" s="8">
        <v>10229</v>
      </c>
      <c r="C982" s="8" t="s">
        <v>1170</v>
      </c>
      <c r="D982" s="8" t="s">
        <v>50</v>
      </c>
      <c r="E982" s="2" t="str">
        <f>"388.61"</f>
        <v>388.61</v>
      </c>
      <c r="F982" s="9" t="s">
        <v>9</v>
      </c>
      <c r="G982" s="9">
        <v>2017</v>
      </c>
      <c r="H982" s="10" t="str">
        <f>"488.74"</f>
        <v>488.74</v>
      </c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 t="str">
        <f>"348.61"</f>
        <v>348.61</v>
      </c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0"/>
      <c r="AJ982" s="10"/>
      <c r="AK982" s="10"/>
      <c r="AL982" s="10"/>
      <c r="AM982" s="10"/>
      <c r="AN982" s="10"/>
      <c r="AO982" s="10"/>
    </row>
    <row r="983" spans="1:41">
      <c r="A983" s="8">
        <v>981</v>
      </c>
      <c r="B983" s="8">
        <v>6468</v>
      </c>
      <c r="C983" s="8" t="s">
        <v>1171</v>
      </c>
      <c r="D983" s="8" t="s">
        <v>1172</v>
      </c>
      <c r="E983" s="2" t="str">
        <f>"389.72"</f>
        <v>389.72</v>
      </c>
      <c r="F983" s="9" t="s">
        <v>9</v>
      </c>
      <c r="G983" s="9">
        <v>2017</v>
      </c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 t="str">
        <f>"349.72"</f>
        <v>349.72</v>
      </c>
      <c r="AB983" s="10"/>
      <c r="AC983" s="10"/>
      <c r="AD983" s="10"/>
      <c r="AE983" s="10"/>
      <c r="AF983" s="10"/>
      <c r="AG983" s="10"/>
      <c r="AH983" s="10"/>
      <c r="AI983" s="10"/>
      <c r="AJ983" s="10"/>
      <c r="AK983" s="10"/>
      <c r="AL983" s="10"/>
      <c r="AM983" s="10"/>
      <c r="AN983" s="10"/>
      <c r="AO983" s="10"/>
    </row>
    <row r="984" spans="1:41">
      <c r="A984" s="8">
        <v>982</v>
      </c>
      <c r="B984" s="8">
        <v>4892</v>
      </c>
      <c r="C984" s="8" t="s">
        <v>1173</v>
      </c>
      <c r="D984" s="8" t="s">
        <v>71</v>
      </c>
      <c r="E984" s="2" t="str">
        <f>"389.73"</f>
        <v>389.73</v>
      </c>
      <c r="F984" s="9" t="s">
        <v>11</v>
      </c>
      <c r="G984" s="9">
        <v>2017</v>
      </c>
      <c r="H984" s="10" t="str">
        <f>"349.73"</f>
        <v>349.73</v>
      </c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0"/>
      <c r="AJ984" s="10"/>
      <c r="AK984" s="10"/>
      <c r="AL984" s="10"/>
      <c r="AM984" s="10"/>
      <c r="AN984" s="10"/>
      <c r="AO984" s="10"/>
    </row>
    <row r="985" spans="1:41">
      <c r="A985" s="8">
        <v>983</v>
      </c>
      <c r="B985" s="8">
        <v>11407</v>
      </c>
      <c r="C985" s="8" t="s">
        <v>1174</v>
      </c>
      <c r="D985" s="8" t="s">
        <v>14</v>
      </c>
      <c r="E985" s="2" t="str">
        <f>"390.43"</f>
        <v>390.43</v>
      </c>
      <c r="F985" s="9"/>
      <c r="G985" s="9">
        <v>2017</v>
      </c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 t="str">
        <f>"441.56"</f>
        <v>441.56</v>
      </c>
      <c r="V985" s="10"/>
      <c r="W985" s="10"/>
      <c r="X985" s="10" t="str">
        <f>"339.30"</f>
        <v>339.30</v>
      </c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0"/>
      <c r="AJ985" s="10"/>
      <c r="AK985" s="10"/>
      <c r="AL985" s="10"/>
      <c r="AM985" s="10"/>
      <c r="AN985" s="10"/>
      <c r="AO985" s="10"/>
    </row>
    <row r="986" spans="1:41">
      <c r="A986" s="8">
        <v>984</v>
      </c>
      <c r="B986" s="8">
        <v>2452</v>
      </c>
      <c r="C986" s="8" t="s">
        <v>1175</v>
      </c>
      <c r="D986" s="8" t="s">
        <v>61</v>
      </c>
      <c r="E986" s="2" t="str">
        <f>"391.28"</f>
        <v>391.28</v>
      </c>
      <c r="F986" s="9" t="s">
        <v>11</v>
      </c>
      <c r="G986" s="9">
        <v>2017</v>
      </c>
      <c r="H986" s="10" t="str">
        <f>"351.28"</f>
        <v>351.28</v>
      </c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0"/>
      <c r="AJ986" s="10"/>
      <c r="AK986" s="10"/>
      <c r="AL986" s="10"/>
      <c r="AM986" s="10"/>
      <c r="AN986" s="10"/>
      <c r="AO986" s="10"/>
    </row>
    <row r="987" spans="1:41">
      <c r="A987" s="8">
        <v>985</v>
      </c>
      <c r="B987" s="8">
        <v>8505</v>
      </c>
      <c r="C987" s="8" t="s">
        <v>1176</v>
      </c>
      <c r="D987" s="8" t="s">
        <v>10</v>
      </c>
      <c r="E987" s="2" t="str">
        <f>"391.66"</f>
        <v>391.66</v>
      </c>
      <c r="F987" s="9" t="s">
        <v>11</v>
      </c>
      <c r="G987" s="9">
        <v>2017</v>
      </c>
      <c r="H987" s="10" t="str">
        <f>"351.66"</f>
        <v>351.66</v>
      </c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0"/>
      <c r="AJ987" s="10"/>
      <c r="AK987" s="10"/>
      <c r="AL987" s="10"/>
      <c r="AM987" s="10"/>
      <c r="AN987" s="10"/>
      <c r="AO987" s="10"/>
    </row>
    <row r="988" spans="1:41">
      <c r="A988" s="8">
        <v>986</v>
      </c>
      <c r="B988" s="8">
        <v>5254</v>
      </c>
      <c r="C988" s="8" t="s">
        <v>1177</v>
      </c>
      <c r="D988" s="8" t="s">
        <v>33</v>
      </c>
      <c r="E988" s="2" t="str">
        <f>"392.09"</f>
        <v>392.09</v>
      </c>
      <c r="F988" s="9"/>
      <c r="G988" s="9">
        <v>2017</v>
      </c>
      <c r="H988" s="10"/>
      <c r="I988" s="10"/>
      <c r="J988" s="10"/>
      <c r="K988" s="10"/>
      <c r="L988" s="10"/>
      <c r="M988" s="10"/>
      <c r="N988" s="10"/>
      <c r="O988" s="10"/>
      <c r="P988" s="10" t="str">
        <f>"372.57"</f>
        <v>372.57</v>
      </c>
      <c r="Q988" s="10"/>
      <c r="R988" s="10"/>
      <c r="S988" s="10"/>
      <c r="T988" s="10" t="str">
        <f>"411.61"</f>
        <v>411.61</v>
      </c>
      <c r="U988" s="10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0"/>
      <c r="AJ988" s="10"/>
      <c r="AK988" s="10"/>
      <c r="AL988" s="10"/>
      <c r="AM988" s="10"/>
      <c r="AN988" s="10"/>
      <c r="AO988" s="10"/>
    </row>
    <row r="989" spans="1:41">
      <c r="A989" s="8">
        <v>987</v>
      </c>
      <c r="B989" s="8">
        <v>11237</v>
      </c>
      <c r="C989" s="8" t="s">
        <v>1178</v>
      </c>
      <c r="D989" s="8" t="s">
        <v>10</v>
      </c>
      <c r="E989" s="2" t="str">
        <f>"392.47"</f>
        <v>392.47</v>
      </c>
      <c r="F989" s="9"/>
      <c r="G989" s="9">
        <v>2017</v>
      </c>
      <c r="H989" s="10"/>
      <c r="I989" s="10"/>
      <c r="J989" s="10"/>
      <c r="K989" s="10"/>
      <c r="L989" s="10"/>
      <c r="M989" s="10"/>
      <c r="N989" s="10"/>
      <c r="O989" s="10"/>
      <c r="P989" s="10"/>
      <c r="Q989" s="10" t="str">
        <f>"567.66"</f>
        <v>567.66</v>
      </c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  <c r="AD989" s="10"/>
      <c r="AE989" s="10" t="str">
        <f>"423.48"</f>
        <v>423.48</v>
      </c>
      <c r="AF989" s="10"/>
      <c r="AG989" s="10"/>
      <c r="AH989" s="10"/>
      <c r="AI989" s="10"/>
      <c r="AJ989" s="10"/>
      <c r="AK989" s="10"/>
      <c r="AL989" s="10"/>
      <c r="AM989" s="10"/>
      <c r="AN989" s="10" t="str">
        <f>"361.45"</f>
        <v>361.45</v>
      </c>
      <c r="AO989" s="10"/>
    </row>
    <row r="990" spans="1:41">
      <c r="A990" s="8">
        <v>988</v>
      </c>
      <c r="B990" s="8">
        <v>11069</v>
      </c>
      <c r="C990" s="8" t="s">
        <v>1179</v>
      </c>
      <c r="D990" s="8" t="s">
        <v>59</v>
      </c>
      <c r="E990" s="2" t="str">
        <f>"392.66"</f>
        <v>392.66</v>
      </c>
      <c r="F990" s="9"/>
      <c r="G990" s="9">
        <v>2017</v>
      </c>
      <c r="H990" s="10" t="str">
        <f>"493.77"</f>
        <v>493.77</v>
      </c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 t="str">
        <f>"461.92"</f>
        <v>461.92</v>
      </c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 t="str">
        <f>"412.60"</f>
        <v>412.60</v>
      </c>
      <c r="AI990" s="10"/>
      <c r="AJ990" s="10"/>
      <c r="AK990" s="10"/>
      <c r="AL990" s="10"/>
      <c r="AM990" s="10" t="str">
        <f>"372.72"</f>
        <v>372.72</v>
      </c>
      <c r="AN990" s="10"/>
      <c r="AO990" s="10"/>
    </row>
    <row r="991" spans="1:41">
      <c r="A991" s="8">
        <v>989</v>
      </c>
      <c r="B991" s="8">
        <v>10588</v>
      </c>
      <c r="C991" s="8" t="s">
        <v>1180</v>
      </c>
      <c r="D991" s="8" t="s">
        <v>10</v>
      </c>
      <c r="E991" s="2" t="str">
        <f>"393.50"</f>
        <v>393.50</v>
      </c>
      <c r="F991" s="9"/>
      <c r="G991" s="9">
        <v>2017</v>
      </c>
      <c r="H991" s="10" t="str">
        <f>"342.14"</f>
        <v>342.14</v>
      </c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  <c r="AD991" s="10"/>
      <c r="AE991" s="10" t="str">
        <f>"318.79"</f>
        <v>318.79</v>
      </c>
      <c r="AF991" s="10" t="str">
        <f>"468.20"</f>
        <v>468.20</v>
      </c>
      <c r="AG991" s="10"/>
      <c r="AH991" s="10"/>
      <c r="AI991" s="10"/>
      <c r="AJ991" s="10"/>
      <c r="AK991" s="10"/>
      <c r="AL991" s="10"/>
      <c r="AM991" s="10"/>
      <c r="AN991" s="10"/>
      <c r="AO991" s="10"/>
    </row>
    <row r="992" spans="1:41">
      <c r="A992" s="8">
        <v>990</v>
      </c>
      <c r="B992" s="8">
        <v>11428</v>
      </c>
      <c r="C992" s="8" t="s">
        <v>1181</v>
      </c>
      <c r="D992" s="8" t="s">
        <v>10</v>
      </c>
      <c r="E992" s="2" t="str">
        <f>"393.51"</f>
        <v>393.51</v>
      </c>
      <c r="F992" s="9" t="s">
        <v>9</v>
      </c>
      <c r="G992" s="9">
        <v>2017</v>
      </c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0"/>
      <c r="AJ992" s="10"/>
      <c r="AK992" s="10"/>
      <c r="AL992" s="10"/>
      <c r="AM992" s="10"/>
      <c r="AN992" s="10" t="str">
        <f>"353.51"</f>
        <v>353.51</v>
      </c>
      <c r="AO992" s="10"/>
    </row>
    <row r="993" spans="1:41">
      <c r="A993" s="8">
        <v>991</v>
      </c>
      <c r="B993" s="8">
        <v>10364</v>
      </c>
      <c r="C993" s="8" t="s">
        <v>1182</v>
      </c>
      <c r="D993" s="8" t="s">
        <v>12</v>
      </c>
      <c r="E993" s="2" t="str">
        <f>"394.32"</f>
        <v>394.32</v>
      </c>
      <c r="F993" s="9" t="s">
        <v>11</v>
      </c>
      <c r="G993" s="9">
        <v>2017</v>
      </c>
      <c r="H993" s="10" t="str">
        <f>"354.32"</f>
        <v>354.32</v>
      </c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0"/>
      <c r="AJ993" s="10"/>
      <c r="AK993" s="10"/>
      <c r="AL993" s="10"/>
      <c r="AM993" s="10"/>
      <c r="AN993" s="10"/>
      <c r="AO993" s="10"/>
    </row>
    <row r="994" spans="1:41">
      <c r="A994" s="8">
        <v>992</v>
      </c>
      <c r="B994" s="8">
        <v>10472</v>
      </c>
      <c r="C994" s="8" t="s">
        <v>1183</v>
      </c>
      <c r="D994" s="8" t="s">
        <v>19</v>
      </c>
      <c r="E994" s="2" t="str">
        <f>"395.00"</f>
        <v>395.00</v>
      </c>
      <c r="F994" s="9"/>
      <c r="G994" s="9">
        <v>2017</v>
      </c>
      <c r="H994" s="10" t="str">
        <f>"763.01"</f>
        <v>763.01</v>
      </c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 t="str">
        <f>"457.14"</f>
        <v>457.14</v>
      </c>
      <c r="AC994" s="10"/>
      <c r="AD994" s="10"/>
      <c r="AE994" s="10"/>
      <c r="AF994" s="10"/>
      <c r="AG994" s="10"/>
      <c r="AH994" s="10"/>
      <c r="AI994" s="10"/>
      <c r="AJ994" s="10"/>
      <c r="AK994" s="10"/>
      <c r="AL994" s="10"/>
      <c r="AM994" s="10"/>
      <c r="AN994" s="10" t="str">
        <f>"332.86"</f>
        <v>332.86</v>
      </c>
      <c r="AO994" s="10"/>
    </row>
    <row r="995" spans="1:41">
      <c r="A995" s="8">
        <v>993</v>
      </c>
      <c r="B995" s="8">
        <v>3924</v>
      </c>
      <c r="C995" s="8" t="s">
        <v>1184</v>
      </c>
      <c r="D995" s="8" t="s">
        <v>1185</v>
      </c>
      <c r="E995" s="2" t="str">
        <f>"395.47"</f>
        <v>395.47</v>
      </c>
      <c r="F995" s="9"/>
      <c r="G995" s="9">
        <v>2017</v>
      </c>
      <c r="H995" s="10" t="str">
        <f>"406.98"</f>
        <v>406.98</v>
      </c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 t="str">
        <f>"431.57"</f>
        <v>431.57</v>
      </c>
      <c r="U995" s="10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 t="str">
        <f>"359.37"</f>
        <v>359.37</v>
      </c>
      <c r="AH995" s="10" t="str">
        <f>"453.13"</f>
        <v>453.13</v>
      </c>
      <c r="AI995" s="10"/>
      <c r="AJ995" s="10"/>
      <c r="AK995" s="10"/>
      <c r="AL995" s="10"/>
      <c r="AM995" s="10"/>
      <c r="AN995" s="10"/>
      <c r="AO995" s="10"/>
    </row>
    <row r="996" spans="1:41">
      <c r="A996" s="8">
        <v>994</v>
      </c>
      <c r="B996" s="8">
        <v>3106</v>
      </c>
      <c r="C996" s="8" t="s">
        <v>1186</v>
      </c>
      <c r="D996" s="8" t="s">
        <v>92</v>
      </c>
      <c r="E996" s="2" t="str">
        <f>"395.66"</f>
        <v>395.66</v>
      </c>
      <c r="F996" s="9" t="s">
        <v>11</v>
      </c>
      <c r="G996" s="9">
        <v>2017</v>
      </c>
      <c r="H996" s="10" t="str">
        <f>"355.66"</f>
        <v>355.66</v>
      </c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0"/>
      <c r="AJ996" s="10"/>
      <c r="AK996" s="10"/>
      <c r="AL996" s="10"/>
      <c r="AM996" s="10"/>
      <c r="AN996" s="10"/>
      <c r="AO996" s="10"/>
    </row>
    <row r="997" spans="1:41">
      <c r="A997" s="8">
        <v>995</v>
      </c>
      <c r="B997" s="8">
        <v>11293</v>
      </c>
      <c r="C997" s="8" t="s">
        <v>1187</v>
      </c>
      <c r="D997" s="8" t="s">
        <v>10</v>
      </c>
      <c r="E997" s="2" t="str">
        <f>"396.02"</f>
        <v>396.02</v>
      </c>
      <c r="F997" s="9" t="s">
        <v>9</v>
      </c>
      <c r="G997" s="9">
        <v>2017</v>
      </c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0"/>
      <c r="AJ997" s="10"/>
      <c r="AK997" s="10"/>
      <c r="AL997" s="10"/>
      <c r="AM997" s="10"/>
      <c r="AN997" s="10" t="str">
        <f>"356.02"</f>
        <v>356.02</v>
      </c>
      <c r="AO997" s="10"/>
    </row>
    <row r="998" spans="1:41">
      <c r="A998" s="8">
        <v>996</v>
      </c>
      <c r="B998" s="8">
        <v>10193</v>
      </c>
      <c r="C998" s="8" t="s">
        <v>1188</v>
      </c>
      <c r="D998" s="8" t="s">
        <v>10</v>
      </c>
      <c r="E998" s="2" t="str">
        <f>"396.31"</f>
        <v>396.31</v>
      </c>
      <c r="F998" s="9" t="s">
        <v>9</v>
      </c>
      <c r="G998" s="9">
        <v>2017</v>
      </c>
      <c r="H998" s="10" t="str">
        <f>"540.84"</f>
        <v>540.84</v>
      </c>
      <c r="I998" s="10"/>
      <c r="J998" s="10"/>
      <c r="K998" s="10"/>
      <c r="L998" s="10"/>
      <c r="M998" s="10"/>
      <c r="N998" s="10"/>
      <c r="O998" s="10"/>
      <c r="P998" s="10"/>
      <c r="Q998" s="10" t="str">
        <f>"356.31"</f>
        <v>356.31</v>
      </c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0"/>
      <c r="AJ998" s="10"/>
      <c r="AK998" s="10"/>
      <c r="AL998" s="10"/>
      <c r="AM998" s="10"/>
      <c r="AN998" s="10"/>
      <c r="AO998" s="10"/>
    </row>
    <row r="999" spans="1:41">
      <c r="A999" s="8">
        <v>997</v>
      </c>
      <c r="B999" s="8">
        <v>10884</v>
      </c>
      <c r="C999" s="8" t="s">
        <v>1189</v>
      </c>
      <c r="D999" s="8" t="s">
        <v>10</v>
      </c>
      <c r="E999" s="2" t="str">
        <f>"397.13"</f>
        <v>397.13</v>
      </c>
      <c r="F999" s="9"/>
      <c r="G999" s="9">
        <v>2017</v>
      </c>
      <c r="H999" s="10" t="str">
        <f>"611.61"</f>
        <v>611.61</v>
      </c>
      <c r="I999" s="10"/>
      <c r="J999" s="10"/>
      <c r="K999" s="10"/>
      <c r="L999" s="10"/>
      <c r="M999" s="10"/>
      <c r="N999" s="10"/>
      <c r="O999" s="10"/>
      <c r="P999" s="10"/>
      <c r="Q999" s="10" t="str">
        <f>"452.03"</f>
        <v>452.03</v>
      </c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  <c r="AD999" s="10"/>
      <c r="AE999" s="10" t="str">
        <f>"342.22"</f>
        <v>342.22</v>
      </c>
      <c r="AF999" s="10"/>
      <c r="AG999" s="10"/>
      <c r="AH999" s="10"/>
      <c r="AI999" s="10"/>
      <c r="AJ999" s="10"/>
      <c r="AK999" s="10"/>
      <c r="AL999" s="10"/>
      <c r="AM999" s="10"/>
      <c r="AN999" s="10"/>
      <c r="AO999" s="10"/>
    </row>
    <row r="1000" spans="1:41">
      <c r="A1000" s="8">
        <v>998</v>
      </c>
      <c r="B1000" s="8">
        <v>10492</v>
      </c>
      <c r="C1000" s="8" t="s">
        <v>1190</v>
      </c>
      <c r="D1000" s="8" t="s">
        <v>19</v>
      </c>
      <c r="E1000" s="2" t="str">
        <f>"397.48"</f>
        <v>397.48</v>
      </c>
      <c r="F1000" s="9"/>
      <c r="G1000" s="9">
        <v>2017</v>
      </c>
      <c r="H1000" s="10" t="str">
        <f>"465.91"</f>
        <v>465.91</v>
      </c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 t="str">
        <f>"410.35"</f>
        <v>410.35</v>
      </c>
      <c r="AC1000" s="10"/>
      <c r="AD1000" s="10"/>
      <c r="AE1000" s="10"/>
      <c r="AF1000" s="10"/>
      <c r="AG1000" s="10"/>
      <c r="AH1000" s="10"/>
      <c r="AI1000" s="10"/>
      <c r="AJ1000" s="10"/>
      <c r="AK1000" s="10"/>
      <c r="AL1000" s="10"/>
      <c r="AM1000" s="10"/>
      <c r="AN1000" s="10" t="str">
        <f>"384.61"</f>
        <v>384.61</v>
      </c>
      <c r="AO1000" s="10"/>
    </row>
    <row r="1001" spans="1:41">
      <c r="A1001" s="8">
        <v>999</v>
      </c>
      <c r="B1001" s="8">
        <v>3621</v>
      </c>
      <c r="C1001" s="8" t="s">
        <v>1191</v>
      </c>
      <c r="D1001" s="8" t="s">
        <v>592</v>
      </c>
      <c r="E1001" s="2" t="str">
        <f>"398.44"</f>
        <v>398.44</v>
      </c>
      <c r="F1001" s="9"/>
      <c r="G1001" s="9">
        <v>2017</v>
      </c>
      <c r="H1001" s="10" t="str">
        <f>"408.14"</f>
        <v>408.14</v>
      </c>
      <c r="I1001" s="10"/>
      <c r="J1001" s="10"/>
      <c r="K1001" s="10"/>
      <c r="L1001" s="10"/>
      <c r="M1001" s="10"/>
      <c r="N1001" s="10" t="str">
        <f>"413.64"</f>
        <v>413.64</v>
      </c>
      <c r="O1001" s="10"/>
      <c r="P1001" s="10" t="str">
        <f>"383.23"</f>
        <v>383.23</v>
      </c>
      <c r="Q1001" s="10"/>
      <c r="R1001" s="10"/>
      <c r="S1001" s="10"/>
      <c r="T1001" s="10" t="str">
        <f>"457.82"</f>
        <v>457.82</v>
      </c>
      <c r="U1001" s="10"/>
      <c r="V1001" s="10"/>
      <c r="W1001" s="10"/>
      <c r="X1001" s="10"/>
      <c r="Y1001" s="10"/>
      <c r="Z1001" s="10"/>
      <c r="AA1001" s="10"/>
      <c r="AB1001" s="10"/>
      <c r="AC1001" s="10"/>
      <c r="AD1001" s="10"/>
      <c r="AE1001" s="10"/>
      <c r="AF1001" s="10"/>
      <c r="AG1001" s="10"/>
      <c r="AH1001" s="10"/>
      <c r="AI1001" s="10"/>
      <c r="AJ1001" s="10"/>
      <c r="AK1001" s="10"/>
      <c r="AL1001" s="10"/>
      <c r="AM1001" s="10"/>
      <c r="AN1001" s="10"/>
      <c r="AO1001" s="10"/>
    </row>
    <row r="1002" spans="1:41">
      <c r="A1002" s="8">
        <v>1000</v>
      </c>
      <c r="B1002" s="8">
        <v>10400</v>
      </c>
      <c r="C1002" s="8" t="s">
        <v>1192</v>
      </c>
      <c r="D1002" s="8" t="s">
        <v>19</v>
      </c>
      <c r="E1002" s="2" t="str">
        <f>"398.93"</f>
        <v>398.93</v>
      </c>
      <c r="F1002" s="9" t="s">
        <v>9</v>
      </c>
      <c r="G1002" s="9">
        <v>2017</v>
      </c>
      <c r="H1002" s="10" t="str">
        <f>"387.78"</f>
        <v>387.78</v>
      </c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  <c r="AA1002" s="10"/>
      <c r="AB1002" s="10" t="str">
        <f>"358.93"</f>
        <v>358.93</v>
      </c>
      <c r="AC1002" s="10"/>
      <c r="AD1002" s="10"/>
      <c r="AE1002" s="10"/>
      <c r="AF1002" s="10"/>
      <c r="AG1002" s="10"/>
      <c r="AH1002" s="10"/>
      <c r="AI1002" s="10"/>
      <c r="AJ1002" s="10"/>
      <c r="AK1002" s="10"/>
      <c r="AL1002" s="10"/>
      <c r="AM1002" s="10"/>
      <c r="AN1002" s="10"/>
      <c r="AO1002" s="10"/>
    </row>
    <row r="1003" spans="1:41">
      <c r="A1003" s="8">
        <v>1001</v>
      </c>
      <c r="B1003" s="8">
        <v>11298</v>
      </c>
      <c r="C1003" s="8" t="s">
        <v>1193</v>
      </c>
      <c r="D1003" s="8" t="s">
        <v>10</v>
      </c>
      <c r="E1003" s="2" t="str">
        <f>"399.44"</f>
        <v>399.44</v>
      </c>
      <c r="F1003" s="9"/>
      <c r="G1003" s="9">
        <v>2017</v>
      </c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  <c r="AA1003" s="10"/>
      <c r="AB1003" s="10"/>
      <c r="AC1003" s="10"/>
      <c r="AD1003" s="10"/>
      <c r="AE1003" s="10" t="str">
        <f>"420.23"</f>
        <v>420.23</v>
      </c>
      <c r="AF1003" s="10"/>
      <c r="AG1003" s="10"/>
      <c r="AH1003" s="10"/>
      <c r="AI1003" s="10"/>
      <c r="AJ1003" s="10"/>
      <c r="AK1003" s="10"/>
      <c r="AL1003" s="10"/>
      <c r="AM1003" s="10"/>
      <c r="AN1003" s="10" t="str">
        <f>"378.65"</f>
        <v>378.65</v>
      </c>
      <c r="AO1003" s="10"/>
    </row>
    <row r="1004" spans="1:41">
      <c r="A1004" s="8">
        <v>1002</v>
      </c>
      <c r="B1004" s="8">
        <v>3722</v>
      </c>
      <c r="C1004" s="8" t="s">
        <v>1194</v>
      </c>
      <c r="D1004" s="8" t="s">
        <v>63</v>
      </c>
      <c r="E1004" s="2" t="str">
        <f>"400.31"</f>
        <v>400.31</v>
      </c>
      <c r="F1004" s="9" t="s">
        <v>11</v>
      </c>
      <c r="G1004" s="9">
        <v>2017</v>
      </c>
      <c r="H1004" s="10" t="str">
        <f>"360.31"</f>
        <v>360.31</v>
      </c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  <c r="AA1004" s="10"/>
      <c r="AB1004" s="10"/>
      <c r="AC1004" s="10"/>
      <c r="AD1004" s="10"/>
      <c r="AE1004" s="10"/>
      <c r="AF1004" s="10"/>
      <c r="AG1004" s="10"/>
      <c r="AH1004" s="10"/>
      <c r="AI1004" s="10"/>
      <c r="AJ1004" s="10"/>
      <c r="AK1004" s="10"/>
      <c r="AL1004" s="10"/>
      <c r="AM1004" s="10"/>
      <c r="AN1004" s="10"/>
      <c r="AO1004" s="10"/>
    </row>
    <row r="1005" spans="1:41">
      <c r="A1005" s="8">
        <v>1003</v>
      </c>
      <c r="B1005" s="8">
        <v>11378</v>
      </c>
      <c r="C1005" s="8" t="s">
        <v>1195</v>
      </c>
      <c r="D1005" s="8" t="s">
        <v>19</v>
      </c>
      <c r="E1005" s="2" t="str">
        <f>"400.78"</f>
        <v>400.78</v>
      </c>
      <c r="F1005" s="9"/>
      <c r="G1005" s="9">
        <v>2017</v>
      </c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/>
      <c r="Z1005" s="10"/>
      <c r="AA1005" s="10"/>
      <c r="AB1005" s="10"/>
      <c r="AC1005" s="10" t="str">
        <f>"402.15"</f>
        <v>402.15</v>
      </c>
      <c r="AD1005" s="10" t="str">
        <f>"399.40"</f>
        <v>399.40</v>
      </c>
      <c r="AE1005" s="10"/>
      <c r="AF1005" s="10"/>
      <c r="AG1005" s="10"/>
      <c r="AH1005" s="10"/>
      <c r="AI1005" s="10"/>
      <c r="AJ1005" s="10"/>
      <c r="AK1005" s="10"/>
      <c r="AL1005" s="10"/>
      <c r="AM1005" s="10"/>
      <c r="AN1005" s="10"/>
      <c r="AO1005" s="10"/>
    </row>
    <row r="1006" spans="1:41">
      <c r="A1006" s="8">
        <v>1004</v>
      </c>
      <c r="B1006" s="8">
        <v>11205</v>
      </c>
      <c r="C1006" s="8" t="s">
        <v>1196</v>
      </c>
      <c r="D1006" s="8" t="s">
        <v>19</v>
      </c>
      <c r="E1006" s="2" t="str">
        <f>"401.16"</f>
        <v>401.16</v>
      </c>
      <c r="F1006" s="9" t="s">
        <v>9</v>
      </c>
      <c r="G1006" s="9">
        <v>2017</v>
      </c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  <c r="T1006" s="10"/>
      <c r="U1006" s="10"/>
      <c r="V1006" s="10"/>
      <c r="W1006" s="10"/>
      <c r="X1006" s="10"/>
      <c r="Y1006" s="10"/>
      <c r="Z1006" s="10"/>
      <c r="AA1006" s="10"/>
      <c r="AB1006" s="10" t="str">
        <f>"361.16"</f>
        <v>361.16</v>
      </c>
      <c r="AC1006" s="10"/>
      <c r="AD1006" s="10"/>
      <c r="AE1006" s="10"/>
      <c r="AF1006" s="10"/>
      <c r="AG1006" s="10"/>
      <c r="AH1006" s="10"/>
      <c r="AI1006" s="10"/>
      <c r="AJ1006" s="10"/>
      <c r="AK1006" s="10"/>
      <c r="AL1006" s="10"/>
      <c r="AM1006" s="10"/>
      <c r="AN1006" s="10"/>
      <c r="AO1006" s="10"/>
    </row>
    <row r="1007" spans="1:41">
      <c r="A1007" s="8">
        <v>1005</v>
      </c>
      <c r="B1007" s="8">
        <v>5772</v>
      </c>
      <c r="C1007" s="8" t="s">
        <v>1197</v>
      </c>
      <c r="D1007" s="8" t="s">
        <v>422</v>
      </c>
      <c r="E1007" s="2" t="str">
        <f>"401.26"</f>
        <v>401.26</v>
      </c>
      <c r="F1007" s="9"/>
      <c r="G1007" s="9">
        <v>2017</v>
      </c>
      <c r="H1007" s="10" t="str">
        <f>"348.45"</f>
        <v>348.45</v>
      </c>
      <c r="I1007" s="10"/>
      <c r="J1007" s="10"/>
      <c r="K1007" s="10"/>
      <c r="L1007" s="10"/>
      <c r="M1007" s="10"/>
      <c r="N1007" s="10" t="str">
        <f>"431.75"</f>
        <v>431.75</v>
      </c>
      <c r="O1007" s="10"/>
      <c r="P1007" s="10" t="str">
        <f>"370.76"</f>
        <v>370.76</v>
      </c>
      <c r="Q1007" s="10"/>
      <c r="R1007" s="10"/>
      <c r="S1007" s="10"/>
      <c r="T1007" s="10"/>
      <c r="U1007" s="10"/>
      <c r="V1007" s="10"/>
      <c r="W1007" s="10"/>
      <c r="X1007" s="10"/>
      <c r="Y1007" s="10"/>
      <c r="Z1007" s="10"/>
      <c r="AA1007" s="10"/>
      <c r="AB1007" s="10"/>
      <c r="AC1007" s="10"/>
      <c r="AD1007" s="10"/>
      <c r="AE1007" s="10"/>
      <c r="AF1007" s="10"/>
      <c r="AG1007" s="10"/>
      <c r="AH1007" s="10"/>
      <c r="AI1007" s="10"/>
      <c r="AJ1007" s="10"/>
      <c r="AK1007" s="10"/>
      <c r="AL1007" s="10"/>
      <c r="AM1007" s="10"/>
      <c r="AN1007" s="10"/>
      <c r="AO1007" s="10"/>
    </row>
    <row r="1008" spans="1:41">
      <c r="A1008" s="8">
        <v>1006</v>
      </c>
      <c r="B1008" s="8">
        <v>6142</v>
      </c>
      <c r="C1008" s="8" t="s">
        <v>1198</v>
      </c>
      <c r="D1008" s="8" t="s">
        <v>49</v>
      </c>
      <c r="E1008" s="2" t="str">
        <f>"402.32"</f>
        <v>402.32</v>
      </c>
      <c r="F1008" s="9" t="s">
        <v>9</v>
      </c>
      <c r="G1008" s="9">
        <v>2017</v>
      </c>
      <c r="H1008" s="10" t="str">
        <f>"274.14"</f>
        <v>274.14</v>
      </c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  <c r="T1008" s="10" t="str">
        <f>"362.32"</f>
        <v>362.32</v>
      </c>
      <c r="U1008" s="10"/>
      <c r="V1008" s="10"/>
      <c r="W1008" s="10"/>
      <c r="X1008" s="10"/>
      <c r="Y1008" s="10"/>
      <c r="Z1008" s="10"/>
      <c r="AA1008" s="10"/>
      <c r="AB1008" s="10"/>
      <c r="AC1008" s="10"/>
      <c r="AD1008" s="10"/>
      <c r="AE1008" s="10"/>
      <c r="AF1008" s="10"/>
      <c r="AG1008" s="10"/>
      <c r="AH1008" s="10"/>
      <c r="AI1008" s="10"/>
      <c r="AJ1008" s="10"/>
      <c r="AK1008" s="10"/>
      <c r="AL1008" s="10"/>
      <c r="AM1008" s="10"/>
      <c r="AN1008" s="10"/>
      <c r="AO1008" s="10"/>
    </row>
    <row r="1009" spans="1:41">
      <c r="A1009" s="8">
        <v>1007</v>
      </c>
      <c r="B1009" s="8">
        <v>10585</v>
      </c>
      <c r="C1009" s="8" t="s">
        <v>1199</v>
      </c>
      <c r="D1009" s="8" t="s">
        <v>10</v>
      </c>
      <c r="E1009" s="2" t="str">
        <f>"402.87"</f>
        <v>402.87</v>
      </c>
      <c r="F1009" s="9"/>
      <c r="G1009" s="9">
        <v>2017</v>
      </c>
      <c r="H1009" s="10" t="str">
        <f>"475.45"</f>
        <v>475.45</v>
      </c>
      <c r="I1009" s="10"/>
      <c r="J1009" s="10"/>
      <c r="K1009" s="10"/>
      <c r="L1009" s="10"/>
      <c r="M1009" s="10"/>
      <c r="N1009" s="10"/>
      <c r="O1009" s="10"/>
      <c r="P1009" s="10"/>
      <c r="Q1009" s="10" t="str">
        <f>"437.44"</f>
        <v>437.44</v>
      </c>
      <c r="R1009" s="10"/>
      <c r="S1009" s="10"/>
      <c r="T1009" s="10"/>
      <c r="U1009" s="10"/>
      <c r="V1009" s="10"/>
      <c r="W1009" s="10"/>
      <c r="X1009" s="10"/>
      <c r="Y1009" s="10"/>
      <c r="Z1009" s="10"/>
      <c r="AA1009" s="10"/>
      <c r="AB1009" s="10"/>
      <c r="AC1009" s="10"/>
      <c r="AD1009" s="10"/>
      <c r="AE1009" s="10" t="str">
        <f>"368.29"</f>
        <v>368.29</v>
      </c>
      <c r="AF1009" s="10"/>
      <c r="AG1009" s="10"/>
      <c r="AH1009" s="10"/>
      <c r="AI1009" s="10"/>
      <c r="AJ1009" s="10"/>
      <c r="AK1009" s="10"/>
      <c r="AL1009" s="10"/>
      <c r="AM1009" s="10"/>
      <c r="AN1009" s="10"/>
      <c r="AO1009" s="10"/>
    </row>
    <row r="1010" spans="1:41">
      <c r="A1010" s="8">
        <v>1008</v>
      </c>
      <c r="B1010" s="8">
        <v>8393</v>
      </c>
      <c r="C1010" s="8" t="s">
        <v>1200</v>
      </c>
      <c r="D1010" s="8" t="s">
        <v>30</v>
      </c>
      <c r="E1010" s="2" t="str">
        <f>"403.89"</f>
        <v>403.89</v>
      </c>
      <c r="F1010" s="9" t="s">
        <v>11</v>
      </c>
      <c r="G1010" s="9">
        <v>2017</v>
      </c>
      <c r="H1010" s="10" t="str">
        <f>"363.89"</f>
        <v>363.89</v>
      </c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  <c r="T1010" s="10"/>
      <c r="U1010" s="10"/>
      <c r="V1010" s="10"/>
      <c r="W1010" s="10"/>
      <c r="X1010" s="10"/>
      <c r="Y1010" s="10"/>
      <c r="Z1010" s="10"/>
      <c r="AA1010" s="10"/>
      <c r="AB1010" s="10"/>
      <c r="AC1010" s="10"/>
      <c r="AD1010" s="10"/>
      <c r="AE1010" s="10"/>
      <c r="AF1010" s="10"/>
      <c r="AG1010" s="10"/>
      <c r="AH1010" s="10"/>
      <c r="AI1010" s="10"/>
      <c r="AJ1010" s="10"/>
      <c r="AK1010" s="10"/>
      <c r="AL1010" s="10"/>
      <c r="AM1010" s="10"/>
      <c r="AN1010" s="10"/>
      <c r="AO1010" s="10"/>
    </row>
    <row r="1011" spans="1:41">
      <c r="A1011" s="8">
        <v>1009</v>
      </c>
      <c r="B1011" s="8">
        <v>1821</v>
      </c>
      <c r="C1011" s="8" t="s">
        <v>1201</v>
      </c>
      <c r="D1011" s="8" t="s">
        <v>46</v>
      </c>
      <c r="E1011" s="2" t="str">
        <f>"404.42"</f>
        <v>404.42</v>
      </c>
      <c r="F1011" s="9"/>
      <c r="G1011" s="9">
        <v>2017</v>
      </c>
      <c r="H1011" s="10" t="str">
        <f>"280.99"</f>
        <v>280.99</v>
      </c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  <c r="T1011" s="10"/>
      <c r="U1011" s="10"/>
      <c r="V1011" s="10"/>
      <c r="W1011" s="10"/>
      <c r="X1011" s="10"/>
      <c r="Y1011" s="10"/>
      <c r="Z1011" s="10"/>
      <c r="AA1011" s="10"/>
      <c r="AB1011" s="10"/>
      <c r="AC1011" s="10"/>
      <c r="AD1011" s="10"/>
      <c r="AE1011" s="10"/>
      <c r="AF1011" s="10"/>
      <c r="AG1011" s="10"/>
      <c r="AH1011" s="10" t="str">
        <f>"360.97"</f>
        <v>360.97</v>
      </c>
      <c r="AI1011" s="10"/>
      <c r="AJ1011" s="10"/>
      <c r="AK1011" s="10"/>
      <c r="AL1011" s="10" t="str">
        <f>"447.87"</f>
        <v>447.87</v>
      </c>
      <c r="AM1011" s="10"/>
      <c r="AN1011" s="10"/>
      <c r="AO1011" s="10"/>
    </row>
    <row r="1012" spans="1:41">
      <c r="A1012" s="8">
        <v>1010</v>
      </c>
      <c r="B1012" s="8">
        <v>11250</v>
      </c>
      <c r="C1012" s="8" t="s">
        <v>1202</v>
      </c>
      <c r="D1012" s="8" t="s">
        <v>10</v>
      </c>
      <c r="E1012" s="2" t="str">
        <f>"404.60"</f>
        <v>404.60</v>
      </c>
      <c r="F1012" s="9"/>
      <c r="G1012" s="9">
        <v>2017</v>
      </c>
      <c r="H1012" s="10"/>
      <c r="I1012" s="10"/>
      <c r="J1012" s="10"/>
      <c r="K1012" s="10"/>
      <c r="L1012" s="10"/>
      <c r="M1012" s="10"/>
      <c r="N1012" s="10"/>
      <c r="O1012" s="10"/>
      <c r="P1012" s="10"/>
      <c r="Q1012" s="10" t="str">
        <f>"675.11"</f>
        <v>675.11</v>
      </c>
      <c r="R1012" s="10"/>
      <c r="S1012" s="10"/>
      <c r="T1012" s="10"/>
      <c r="U1012" s="10"/>
      <c r="V1012" s="10"/>
      <c r="W1012" s="10"/>
      <c r="X1012" s="10"/>
      <c r="Y1012" s="10"/>
      <c r="Z1012" s="10"/>
      <c r="AA1012" s="10"/>
      <c r="AB1012" s="10"/>
      <c r="AC1012" s="10"/>
      <c r="AD1012" s="10"/>
      <c r="AE1012" s="10" t="str">
        <f>"439.40"</f>
        <v>439.40</v>
      </c>
      <c r="AF1012" s="10"/>
      <c r="AG1012" s="10"/>
      <c r="AH1012" s="10"/>
      <c r="AI1012" s="10"/>
      <c r="AJ1012" s="10"/>
      <c r="AK1012" s="10"/>
      <c r="AL1012" s="10"/>
      <c r="AM1012" s="10"/>
      <c r="AN1012" s="10" t="str">
        <f>"369.79"</f>
        <v>369.79</v>
      </c>
      <c r="AO1012" s="10"/>
    </row>
    <row r="1013" spans="1:41">
      <c r="A1013" s="8">
        <v>1011</v>
      </c>
      <c r="B1013" s="8">
        <v>10201</v>
      </c>
      <c r="C1013" s="8" t="s">
        <v>1203</v>
      </c>
      <c r="D1013" s="8" t="s">
        <v>10</v>
      </c>
      <c r="E1013" s="2" t="str">
        <f>"405.20"</f>
        <v>405.20</v>
      </c>
      <c r="F1013" s="9"/>
      <c r="G1013" s="9">
        <v>2017</v>
      </c>
      <c r="H1013" s="10" t="str">
        <f>"461.79"</f>
        <v>461.79</v>
      </c>
      <c r="I1013" s="10"/>
      <c r="J1013" s="10"/>
      <c r="K1013" s="10"/>
      <c r="L1013" s="10"/>
      <c r="M1013" s="10"/>
      <c r="N1013" s="10"/>
      <c r="O1013" s="10"/>
      <c r="P1013" s="10"/>
      <c r="Q1013" s="10" t="str">
        <f>"414.67"</f>
        <v>414.67</v>
      </c>
      <c r="R1013" s="10"/>
      <c r="S1013" s="10"/>
      <c r="T1013" s="10"/>
      <c r="U1013" s="10"/>
      <c r="V1013" s="10"/>
      <c r="W1013" s="10"/>
      <c r="X1013" s="10"/>
      <c r="Y1013" s="10"/>
      <c r="Z1013" s="10"/>
      <c r="AA1013" s="10"/>
      <c r="AB1013" s="10"/>
      <c r="AC1013" s="10"/>
      <c r="AD1013" s="10"/>
      <c r="AE1013" s="10"/>
      <c r="AF1013" s="10"/>
      <c r="AG1013" s="10"/>
      <c r="AH1013" s="10"/>
      <c r="AI1013" s="10"/>
      <c r="AJ1013" s="10"/>
      <c r="AK1013" s="10"/>
      <c r="AL1013" s="10"/>
      <c r="AM1013" s="10"/>
      <c r="AN1013" s="10" t="str">
        <f>"395.72"</f>
        <v>395.72</v>
      </c>
      <c r="AO1013" s="10"/>
    </row>
    <row r="1014" spans="1:41">
      <c r="A1014" s="8">
        <v>1012</v>
      </c>
      <c r="B1014" s="8">
        <v>4296</v>
      </c>
      <c r="C1014" s="8" t="s">
        <v>1204</v>
      </c>
      <c r="D1014" s="8" t="s">
        <v>100</v>
      </c>
      <c r="E1014" s="2" t="str">
        <f>"405.59"</f>
        <v>405.59</v>
      </c>
      <c r="F1014" s="9" t="s">
        <v>11</v>
      </c>
      <c r="G1014" s="9">
        <v>2017</v>
      </c>
      <c r="H1014" s="10" t="str">
        <f>"365.59"</f>
        <v>365.59</v>
      </c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  <c r="S1014" s="10"/>
      <c r="T1014" s="10"/>
      <c r="U1014" s="10"/>
      <c r="V1014" s="10"/>
      <c r="W1014" s="10"/>
      <c r="X1014" s="10"/>
      <c r="Y1014" s="10"/>
      <c r="Z1014" s="10"/>
      <c r="AA1014" s="10"/>
      <c r="AB1014" s="10"/>
      <c r="AC1014" s="10"/>
      <c r="AD1014" s="10"/>
      <c r="AE1014" s="10"/>
      <c r="AF1014" s="10"/>
      <c r="AG1014" s="10"/>
      <c r="AH1014" s="10"/>
      <c r="AI1014" s="10"/>
      <c r="AJ1014" s="10"/>
      <c r="AK1014" s="10"/>
      <c r="AL1014" s="10"/>
      <c r="AM1014" s="10"/>
      <c r="AN1014" s="10"/>
      <c r="AO1014" s="10"/>
    </row>
    <row r="1015" spans="1:41">
      <c r="A1015" s="8">
        <v>1013</v>
      </c>
      <c r="B1015" s="8">
        <v>11345</v>
      </c>
      <c r="C1015" s="8" t="s">
        <v>1205</v>
      </c>
      <c r="D1015" s="8" t="s">
        <v>12</v>
      </c>
      <c r="E1015" s="2" t="str">
        <f>"405.71"</f>
        <v>405.71</v>
      </c>
      <c r="F1015" s="9"/>
      <c r="G1015" s="9">
        <v>2017</v>
      </c>
      <c r="H1015" s="10"/>
      <c r="I1015" s="10" t="str">
        <f>"383.90"</f>
        <v>383.90</v>
      </c>
      <c r="J1015" s="10"/>
      <c r="K1015" s="10" t="str">
        <f>"427.51"</f>
        <v>427.51</v>
      </c>
      <c r="L1015" s="10"/>
      <c r="M1015" s="10"/>
      <c r="N1015" s="10"/>
      <c r="O1015" s="10"/>
      <c r="P1015" s="10"/>
      <c r="Q1015" s="10"/>
      <c r="R1015" s="10"/>
      <c r="S1015" s="10"/>
      <c r="T1015" s="10"/>
      <c r="U1015" s="10"/>
      <c r="V1015" s="10"/>
      <c r="W1015" s="10"/>
      <c r="X1015" s="10"/>
      <c r="Y1015" s="10"/>
      <c r="Z1015" s="10"/>
      <c r="AA1015" s="10"/>
      <c r="AB1015" s="10"/>
      <c r="AC1015" s="10"/>
      <c r="AD1015" s="10"/>
      <c r="AE1015" s="10"/>
      <c r="AF1015" s="10"/>
      <c r="AG1015" s="10"/>
      <c r="AH1015" s="10"/>
      <c r="AI1015" s="10"/>
      <c r="AJ1015" s="10"/>
      <c r="AK1015" s="10"/>
      <c r="AL1015" s="10"/>
      <c r="AM1015" s="10"/>
      <c r="AN1015" s="10"/>
      <c r="AO1015" s="10"/>
    </row>
    <row r="1016" spans="1:41">
      <c r="A1016" s="8">
        <v>1014</v>
      </c>
      <c r="B1016" s="8">
        <v>10730</v>
      </c>
      <c r="C1016" s="8" t="s">
        <v>1206</v>
      </c>
      <c r="D1016" s="8" t="s">
        <v>19</v>
      </c>
      <c r="E1016" s="2" t="str">
        <f>"406.72"</f>
        <v>406.72</v>
      </c>
      <c r="F1016" s="9"/>
      <c r="G1016" s="9">
        <v>2017</v>
      </c>
      <c r="H1016" s="10" t="str">
        <f>"685.36"</f>
        <v>685.36</v>
      </c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  <c r="T1016" s="10"/>
      <c r="U1016" s="10"/>
      <c r="V1016" s="10"/>
      <c r="W1016" s="10"/>
      <c r="X1016" s="10"/>
      <c r="Y1016" s="10"/>
      <c r="Z1016" s="10"/>
      <c r="AA1016" s="10"/>
      <c r="AB1016" s="10" t="str">
        <f>"435.79"</f>
        <v>435.79</v>
      </c>
      <c r="AC1016" s="10"/>
      <c r="AD1016" s="10"/>
      <c r="AE1016" s="10"/>
      <c r="AF1016" s="10"/>
      <c r="AG1016" s="10"/>
      <c r="AH1016" s="10"/>
      <c r="AI1016" s="10"/>
      <c r="AJ1016" s="10"/>
      <c r="AK1016" s="10"/>
      <c r="AL1016" s="10"/>
      <c r="AM1016" s="10" t="str">
        <f>"377.65"</f>
        <v>377.65</v>
      </c>
      <c r="AN1016" s="10"/>
      <c r="AO1016" s="10"/>
    </row>
    <row r="1017" spans="1:41">
      <c r="A1017" s="8">
        <v>1015</v>
      </c>
      <c r="B1017" s="8">
        <v>10455</v>
      </c>
      <c r="C1017" s="8" t="s">
        <v>1207</v>
      </c>
      <c r="D1017" s="8" t="s">
        <v>19</v>
      </c>
      <c r="E1017" s="2" t="str">
        <f>"407.17"</f>
        <v>407.17</v>
      </c>
      <c r="F1017" s="9" t="s">
        <v>11</v>
      </c>
      <c r="G1017" s="9">
        <v>2017</v>
      </c>
      <c r="H1017" s="10" t="str">
        <f>"367.17"</f>
        <v>367.17</v>
      </c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  <c r="S1017" s="10"/>
      <c r="T1017" s="10"/>
      <c r="U1017" s="10"/>
      <c r="V1017" s="10"/>
      <c r="W1017" s="10"/>
      <c r="X1017" s="10"/>
      <c r="Y1017" s="10"/>
      <c r="Z1017" s="10"/>
      <c r="AA1017" s="10"/>
      <c r="AB1017" s="10"/>
      <c r="AC1017" s="10"/>
      <c r="AD1017" s="10"/>
      <c r="AE1017" s="10"/>
      <c r="AF1017" s="10"/>
      <c r="AG1017" s="10"/>
      <c r="AH1017" s="10"/>
      <c r="AI1017" s="10"/>
      <c r="AJ1017" s="10"/>
      <c r="AK1017" s="10"/>
      <c r="AL1017" s="10"/>
      <c r="AM1017" s="10"/>
      <c r="AN1017" s="10"/>
      <c r="AO1017" s="10"/>
    </row>
    <row r="1018" spans="1:41">
      <c r="A1018" s="8">
        <v>1016</v>
      </c>
      <c r="B1018" s="8">
        <v>10595</v>
      </c>
      <c r="C1018" s="8" t="s">
        <v>1208</v>
      </c>
      <c r="D1018" s="8" t="s">
        <v>10</v>
      </c>
      <c r="E1018" s="2" t="str">
        <f>"407.23"</f>
        <v>407.23</v>
      </c>
      <c r="F1018" s="9"/>
      <c r="G1018" s="9">
        <v>2017</v>
      </c>
      <c r="H1018" s="10" t="str">
        <f>"370.17"</f>
        <v>370.17</v>
      </c>
      <c r="I1018" s="10"/>
      <c r="J1018" s="10"/>
      <c r="K1018" s="10"/>
      <c r="L1018" s="10"/>
      <c r="M1018" s="10"/>
      <c r="N1018" s="10"/>
      <c r="O1018" s="10"/>
      <c r="P1018" s="10"/>
      <c r="Q1018" s="10" t="str">
        <f>"356.04"</f>
        <v>356.04</v>
      </c>
      <c r="R1018" s="10" t="str">
        <f>"458.41"</f>
        <v>458.41</v>
      </c>
      <c r="S1018" s="10"/>
      <c r="T1018" s="10"/>
      <c r="U1018" s="10"/>
      <c r="V1018" s="10"/>
      <c r="W1018" s="10"/>
      <c r="X1018" s="10"/>
      <c r="Y1018" s="10"/>
      <c r="Z1018" s="10"/>
      <c r="AA1018" s="10"/>
      <c r="AB1018" s="10"/>
      <c r="AC1018" s="10"/>
      <c r="AD1018" s="10"/>
      <c r="AE1018" s="10"/>
      <c r="AF1018" s="10"/>
      <c r="AG1018" s="10"/>
      <c r="AH1018" s="10"/>
      <c r="AI1018" s="10"/>
      <c r="AJ1018" s="10"/>
      <c r="AK1018" s="10"/>
      <c r="AL1018" s="10"/>
      <c r="AM1018" s="10"/>
      <c r="AN1018" s="10"/>
      <c r="AO1018" s="10"/>
    </row>
    <row r="1019" spans="1:41">
      <c r="A1019" s="8">
        <v>1017</v>
      </c>
      <c r="B1019" s="8">
        <v>3005</v>
      </c>
      <c r="C1019" s="8" t="s">
        <v>1209</v>
      </c>
      <c r="D1019" s="8" t="s">
        <v>51</v>
      </c>
      <c r="E1019" s="2" t="str">
        <f>"407.30"</f>
        <v>407.30</v>
      </c>
      <c r="F1019" s="9"/>
      <c r="G1019" s="9">
        <v>2017</v>
      </c>
      <c r="H1019" s="10" t="str">
        <f>"264.82"</f>
        <v>264.82</v>
      </c>
      <c r="I1019" s="10"/>
      <c r="J1019" s="10"/>
      <c r="K1019" s="10"/>
      <c r="L1019" s="10" t="str">
        <f>"413.84"</f>
        <v>413.84</v>
      </c>
      <c r="M1019" s="10"/>
      <c r="N1019" s="10"/>
      <c r="O1019" s="10"/>
      <c r="P1019" s="10"/>
      <c r="Q1019" s="10"/>
      <c r="R1019" s="10"/>
      <c r="S1019" s="10"/>
      <c r="T1019" s="10"/>
      <c r="U1019" s="10"/>
      <c r="V1019" s="10"/>
      <c r="W1019" s="10"/>
      <c r="X1019" s="10"/>
      <c r="Y1019" s="10"/>
      <c r="Z1019" s="10"/>
      <c r="AA1019" s="10"/>
      <c r="AB1019" s="10"/>
      <c r="AC1019" s="10" t="str">
        <f>"400.75"</f>
        <v>400.75</v>
      </c>
      <c r="AD1019" s="10"/>
      <c r="AE1019" s="10"/>
      <c r="AF1019" s="10"/>
      <c r="AG1019" s="10"/>
      <c r="AH1019" s="10"/>
      <c r="AI1019" s="10"/>
      <c r="AJ1019" s="10"/>
      <c r="AK1019" s="10"/>
      <c r="AL1019" s="10"/>
      <c r="AM1019" s="10"/>
      <c r="AN1019" s="10"/>
      <c r="AO1019" s="10"/>
    </row>
    <row r="1020" spans="1:41">
      <c r="A1020" s="8">
        <v>1018</v>
      </c>
      <c r="B1020" s="8">
        <v>11056</v>
      </c>
      <c r="C1020" s="8" t="s">
        <v>1210</v>
      </c>
      <c r="D1020" s="8" t="s">
        <v>50</v>
      </c>
      <c r="E1020" s="2" t="str">
        <f>"408.80"</f>
        <v>408.80</v>
      </c>
      <c r="F1020" s="9"/>
      <c r="G1020" s="9">
        <v>2017</v>
      </c>
      <c r="H1020" s="10" t="str">
        <f>"699.45"</f>
        <v>699.45</v>
      </c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  <c r="S1020" s="10"/>
      <c r="T1020" s="10"/>
      <c r="U1020" s="10" t="str">
        <f>"455.90"</f>
        <v>455.90</v>
      </c>
      <c r="V1020" s="10"/>
      <c r="W1020" s="10" t="str">
        <f>"361.70"</f>
        <v>361.70</v>
      </c>
      <c r="X1020" s="10"/>
      <c r="Y1020" s="10"/>
      <c r="Z1020" s="10"/>
      <c r="AA1020" s="10"/>
      <c r="AB1020" s="10"/>
      <c r="AC1020" s="10"/>
      <c r="AD1020" s="10"/>
      <c r="AE1020" s="10"/>
      <c r="AF1020" s="10"/>
      <c r="AG1020" s="10"/>
      <c r="AH1020" s="10"/>
      <c r="AI1020" s="10"/>
      <c r="AJ1020" s="10"/>
      <c r="AK1020" s="10"/>
      <c r="AL1020" s="10"/>
      <c r="AM1020" s="10"/>
      <c r="AN1020" s="10"/>
      <c r="AO1020" s="10"/>
    </row>
    <row r="1021" spans="1:41">
      <c r="A1021" s="8">
        <v>1019</v>
      </c>
      <c r="B1021" s="8">
        <v>10843</v>
      </c>
      <c r="C1021" s="8" t="s">
        <v>1211</v>
      </c>
      <c r="D1021" s="8" t="s">
        <v>10</v>
      </c>
      <c r="E1021" s="2" t="str">
        <f>"409.97"</f>
        <v>409.97</v>
      </c>
      <c r="F1021" s="9" t="s">
        <v>11</v>
      </c>
      <c r="G1021" s="9">
        <v>2017</v>
      </c>
      <c r="H1021" s="10" t="str">
        <f>"369.97"</f>
        <v>369.97</v>
      </c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  <c r="S1021" s="10"/>
      <c r="T1021" s="10"/>
      <c r="U1021" s="10"/>
      <c r="V1021" s="10"/>
      <c r="W1021" s="10"/>
      <c r="X1021" s="10"/>
      <c r="Y1021" s="10"/>
      <c r="Z1021" s="10"/>
      <c r="AA1021" s="10"/>
      <c r="AB1021" s="10"/>
      <c r="AC1021" s="10"/>
      <c r="AD1021" s="10"/>
      <c r="AE1021" s="10"/>
      <c r="AF1021" s="10"/>
      <c r="AG1021" s="10"/>
      <c r="AH1021" s="10"/>
      <c r="AI1021" s="10"/>
      <c r="AJ1021" s="10"/>
      <c r="AK1021" s="10"/>
      <c r="AL1021" s="10"/>
      <c r="AM1021" s="10"/>
      <c r="AN1021" s="10"/>
      <c r="AO1021" s="10"/>
    </row>
    <row r="1022" spans="1:41">
      <c r="A1022" s="8">
        <v>1020</v>
      </c>
      <c r="B1022" s="8">
        <v>6363</v>
      </c>
      <c r="C1022" s="8" t="s">
        <v>1212</v>
      </c>
      <c r="D1022" s="8" t="s">
        <v>692</v>
      </c>
      <c r="E1022" s="2" t="str">
        <f>"410.31"</f>
        <v>410.31</v>
      </c>
      <c r="F1022" s="9" t="s">
        <v>9</v>
      </c>
      <c r="G1022" s="9">
        <v>2017</v>
      </c>
      <c r="H1022" s="10"/>
      <c r="I1022" s="10"/>
      <c r="J1022" s="10"/>
      <c r="K1022" s="10"/>
      <c r="L1022" s="10"/>
      <c r="M1022" s="10"/>
      <c r="N1022" s="10"/>
      <c r="O1022" s="10" t="str">
        <f>"370.31"</f>
        <v>370.31</v>
      </c>
      <c r="P1022" s="10"/>
      <c r="Q1022" s="10"/>
      <c r="R1022" s="10"/>
      <c r="S1022" s="10"/>
      <c r="T1022" s="10"/>
      <c r="U1022" s="10"/>
      <c r="V1022" s="10"/>
      <c r="W1022" s="10"/>
      <c r="X1022" s="10"/>
      <c r="Y1022" s="10"/>
      <c r="Z1022" s="10"/>
      <c r="AA1022" s="10"/>
      <c r="AB1022" s="10"/>
      <c r="AC1022" s="10"/>
      <c r="AD1022" s="10"/>
      <c r="AE1022" s="10"/>
      <c r="AF1022" s="10"/>
      <c r="AG1022" s="10"/>
      <c r="AH1022" s="10"/>
      <c r="AI1022" s="10"/>
      <c r="AJ1022" s="10"/>
      <c r="AK1022" s="10"/>
      <c r="AL1022" s="10"/>
      <c r="AM1022" s="10"/>
      <c r="AN1022" s="10"/>
      <c r="AO1022" s="10"/>
    </row>
    <row r="1023" spans="1:41">
      <c r="A1023" s="8">
        <v>1021</v>
      </c>
      <c r="B1023" s="8">
        <v>7639</v>
      </c>
      <c r="C1023" s="8" t="s">
        <v>1213</v>
      </c>
      <c r="D1023" s="8" t="s">
        <v>88</v>
      </c>
      <c r="E1023" s="2" t="str">
        <f>"410.38"</f>
        <v>410.38</v>
      </c>
      <c r="F1023" s="9"/>
      <c r="G1023" s="9">
        <v>2017</v>
      </c>
      <c r="H1023" s="10" t="str">
        <f>"304.57"</f>
        <v>304.57</v>
      </c>
      <c r="I1023" s="10"/>
      <c r="J1023" s="10"/>
      <c r="K1023" s="10"/>
      <c r="L1023" s="10"/>
      <c r="M1023" s="10"/>
      <c r="N1023" s="10" t="str">
        <f>"418.30"</f>
        <v>418.30</v>
      </c>
      <c r="O1023" s="10"/>
      <c r="P1023" s="10" t="str">
        <f>"402.46"</f>
        <v>402.46</v>
      </c>
      <c r="Q1023" s="10"/>
      <c r="R1023" s="10"/>
      <c r="S1023" s="10"/>
      <c r="T1023" s="10"/>
      <c r="U1023" s="10"/>
      <c r="V1023" s="10"/>
      <c r="W1023" s="10"/>
      <c r="X1023" s="10"/>
      <c r="Y1023" s="10"/>
      <c r="Z1023" s="10"/>
      <c r="AA1023" s="10"/>
      <c r="AB1023" s="10"/>
      <c r="AC1023" s="10"/>
      <c r="AD1023" s="10"/>
      <c r="AE1023" s="10"/>
      <c r="AF1023" s="10"/>
      <c r="AG1023" s="10"/>
      <c r="AH1023" s="10"/>
      <c r="AI1023" s="10"/>
      <c r="AJ1023" s="10"/>
      <c r="AK1023" s="10"/>
      <c r="AL1023" s="10"/>
      <c r="AM1023" s="10"/>
      <c r="AN1023" s="10"/>
      <c r="AO1023" s="10"/>
    </row>
    <row r="1024" spans="1:41">
      <c r="A1024" s="8">
        <v>1022</v>
      </c>
      <c r="B1024" s="8">
        <v>8276</v>
      </c>
      <c r="C1024" s="8" t="s">
        <v>1214</v>
      </c>
      <c r="D1024" s="8" t="s">
        <v>73</v>
      </c>
      <c r="E1024" s="2" t="str">
        <f>"413.55"</f>
        <v>413.55</v>
      </c>
      <c r="F1024" s="9"/>
      <c r="G1024" s="9">
        <v>2017</v>
      </c>
      <c r="H1024" s="10"/>
      <c r="I1024" s="10"/>
      <c r="J1024" s="10"/>
      <c r="K1024" s="10"/>
      <c r="L1024" s="10"/>
      <c r="M1024" s="10"/>
      <c r="N1024" s="10" t="str">
        <f>"438.61"</f>
        <v>438.61</v>
      </c>
      <c r="O1024" s="10"/>
      <c r="P1024" s="10" t="str">
        <f>"388.49"</f>
        <v>388.49</v>
      </c>
      <c r="Q1024" s="10"/>
      <c r="R1024" s="10"/>
      <c r="S1024" s="10"/>
      <c r="T1024" s="10"/>
      <c r="U1024" s="10"/>
      <c r="V1024" s="10"/>
      <c r="W1024" s="10"/>
      <c r="X1024" s="10"/>
      <c r="Y1024" s="10"/>
      <c r="Z1024" s="10"/>
      <c r="AA1024" s="10"/>
      <c r="AB1024" s="10"/>
      <c r="AC1024" s="10"/>
      <c r="AD1024" s="10"/>
      <c r="AE1024" s="10"/>
      <c r="AF1024" s="10"/>
      <c r="AG1024" s="10"/>
      <c r="AH1024" s="10"/>
      <c r="AI1024" s="10"/>
      <c r="AJ1024" s="10"/>
      <c r="AK1024" s="10"/>
      <c r="AL1024" s="10"/>
      <c r="AM1024" s="10"/>
      <c r="AN1024" s="10"/>
      <c r="AO1024" s="10"/>
    </row>
    <row r="1025" spans="1:41">
      <c r="A1025" s="8">
        <v>1023</v>
      </c>
      <c r="B1025" s="8">
        <v>10804</v>
      </c>
      <c r="C1025" s="8" t="s">
        <v>1215</v>
      </c>
      <c r="D1025" s="8" t="s">
        <v>19</v>
      </c>
      <c r="E1025" s="2" t="str">
        <f>"413.89"</f>
        <v>413.89</v>
      </c>
      <c r="F1025" s="9" t="s">
        <v>9</v>
      </c>
      <c r="G1025" s="9">
        <v>2017</v>
      </c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  <c r="T1025" s="10"/>
      <c r="U1025" s="10"/>
      <c r="V1025" s="10"/>
      <c r="W1025" s="10"/>
      <c r="X1025" s="10"/>
      <c r="Y1025" s="10"/>
      <c r="Z1025" s="10"/>
      <c r="AA1025" s="10"/>
      <c r="AB1025" s="10"/>
      <c r="AC1025" s="10"/>
      <c r="AD1025" s="10"/>
      <c r="AE1025" s="10"/>
      <c r="AF1025" s="10"/>
      <c r="AG1025" s="10"/>
      <c r="AH1025" s="10"/>
      <c r="AI1025" s="10"/>
      <c r="AJ1025" s="10"/>
      <c r="AK1025" s="10"/>
      <c r="AL1025" s="10"/>
      <c r="AM1025" s="10"/>
      <c r="AN1025" s="10" t="str">
        <f>"373.89"</f>
        <v>373.89</v>
      </c>
      <c r="AO1025" s="10"/>
    </row>
    <row r="1026" spans="1:41">
      <c r="A1026" s="8">
        <v>1024</v>
      </c>
      <c r="B1026" s="8">
        <v>1917</v>
      </c>
      <c r="C1026" s="8" t="s">
        <v>1216</v>
      </c>
      <c r="D1026" s="8" t="s">
        <v>38</v>
      </c>
      <c r="E1026" s="2" t="str">
        <f>"413.98"</f>
        <v>413.98</v>
      </c>
      <c r="F1026" s="9" t="s">
        <v>11</v>
      </c>
      <c r="G1026" s="9">
        <v>2017</v>
      </c>
      <c r="H1026" s="10" t="str">
        <f>"373.98"</f>
        <v>373.98</v>
      </c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  <c r="S1026" s="10"/>
      <c r="T1026" s="10"/>
      <c r="U1026" s="10"/>
      <c r="V1026" s="10"/>
      <c r="W1026" s="10"/>
      <c r="X1026" s="10"/>
      <c r="Y1026" s="10"/>
      <c r="Z1026" s="10"/>
      <c r="AA1026" s="10"/>
      <c r="AB1026" s="10"/>
      <c r="AC1026" s="10"/>
      <c r="AD1026" s="10"/>
      <c r="AE1026" s="10"/>
      <c r="AF1026" s="10"/>
      <c r="AG1026" s="10"/>
      <c r="AH1026" s="10"/>
      <c r="AI1026" s="10"/>
      <c r="AJ1026" s="10"/>
      <c r="AK1026" s="10"/>
      <c r="AL1026" s="10"/>
      <c r="AM1026" s="10"/>
      <c r="AN1026" s="10"/>
      <c r="AO1026" s="10"/>
    </row>
    <row r="1027" spans="1:41">
      <c r="A1027" s="8">
        <v>1025</v>
      </c>
      <c r="B1027" s="8">
        <v>11063</v>
      </c>
      <c r="C1027" s="8" t="s">
        <v>1217</v>
      </c>
      <c r="D1027" s="8" t="s">
        <v>50</v>
      </c>
      <c r="E1027" s="2" t="str">
        <f>"414.17"</f>
        <v>414.17</v>
      </c>
      <c r="F1027" s="9"/>
      <c r="G1027" s="9">
        <v>2017</v>
      </c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  <c r="S1027" s="10"/>
      <c r="T1027" s="10"/>
      <c r="U1027" s="10" t="str">
        <f>"522.83"</f>
        <v>522.83</v>
      </c>
      <c r="V1027" s="10"/>
      <c r="W1027" s="10" t="str">
        <f>"305.50"</f>
        <v>305.50</v>
      </c>
      <c r="X1027" s="10"/>
      <c r="Y1027" s="10"/>
      <c r="Z1027" s="10"/>
      <c r="AA1027" s="10"/>
      <c r="AB1027" s="10"/>
      <c r="AC1027" s="10"/>
      <c r="AD1027" s="10"/>
      <c r="AE1027" s="10"/>
      <c r="AF1027" s="10"/>
      <c r="AG1027" s="10"/>
      <c r="AH1027" s="10"/>
      <c r="AI1027" s="10"/>
      <c r="AJ1027" s="10"/>
      <c r="AK1027" s="10"/>
      <c r="AL1027" s="10"/>
      <c r="AM1027" s="10"/>
      <c r="AN1027" s="10"/>
      <c r="AO1027" s="10"/>
    </row>
    <row r="1028" spans="1:41">
      <c r="A1028" s="8">
        <v>1026</v>
      </c>
      <c r="B1028" s="8">
        <v>5190</v>
      </c>
      <c r="C1028" s="8" t="s">
        <v>1218</v>
      </c>
      <c r="D1028" s="8" t="s">
        <v>89</v>
      </c>
      <c r="E1028" s="2" t="str">
        <f>"414.36"</f>
        <v>414.36</v>
      </c>
      <c r="F1028" s="9" t="s">
        <v>9</v>
      </c>
      <c r="G1028" s="9">
        <v>2017</v>
      </c>
      <c r="H1028" s="10" t="str">
        <f>"358.64"</f>
        <v>358.64</v>
      </c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  <c r="S1028" s="10"/>
      <c r="T1028" s="10"/>
      <c r="U1028" s="10"/>
      <c r="V1028" s="10"/>
      <c r="W1028" s="10"/>
      <c r="X1028" s="10"/>
      <c r="Y1028" s="10"/>
      <c r="Z1028" s="10"/>
      <c r="AA1028" s="10" t="str">
        <f>"374.36"</f>
        <v>374.36</v>
      </c>
      <c r="AB1028" s="10"/>
      <c r="AC1028" s="10"/>
      <c r="AD1028" s="10"/>
      <c r="AE1028" s="10"/>
      <c r="AF1028" s="10"/>
      <c r="AG1028" s="10"/>
      <c r="AH1028" s="10"/>
      <c r="AI1028" s="10"/>
      <c r="AJ1028" s="10"/>
      <c r="AK1028" s="10"/>
      <c r="AL1028" s="10"/>
      <c r="AM1028" s="10"/>
      <c r="AN1028" s="10"/>
      <c r="AO1028" s="10"/>
    </row>
    <row r="1029" spans="1:41">
      <c r="A1029" s="8">
        <v>1027</v>
      </c>
      <c r="B1029" s="8">
        <v>11120</v>
      </c>
      <c r="C1029" s="8" t="s">
        <v>1219</v>
      </c>
      <c r="D1029" s="8" t="s">
        <v>82</v>
      </c>
      <c r="E1029" s="2" t="str">
        <f>"414.50"</f>
        <v>414.50</v>
      </c>
      <c r="F1029" s="9" t="s">
        <v>9</v>
      </c>
      <c r="G1029" s="9">
        <v>2017</v>
      </c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  <c r="S1029" s="10"/>
      <c r="T1029" s="10"/>
      <c r="U1029" s="10"/>
      <c r="V1029" s="10"/>
      <c r="W1029" s="10"/>
      <c r="X1029" s="10"/>
      <c r="Y1029" s="10"/>
      <c r="Z1029" s="10"/>
      <c r="AA1029" s="10"/>
      <c r="AB1029" s="10"/>
      <c r="AC1029" s="10"/>
      <c r="AD1029" s="10"/>
      <c r="AE1029" s="10"/>
      <c r="AF1029" s="10"/>
      <c r="AG1029" s="10"/>
      <c r="AH1029" s="10"/>
      <c r="AI1029" s="10" t="str">
        <f>"374.50"</f>
        <v>374.50</v>
      </c>
      <c r="AJ1029" s="10"/>
      <c r="AK1029" s="10"/>
      <c r="AL1029" s="10"/>
      <c r="AM1029" s="10"/>
      <c r="AN1029" s="10"/>
      <c r="AO1029" s="10"/>
    </row>
    <row r="1030" spans="1:41">
      <c r="A1030" s="8">
        <v>1028</v>
      </c>
      <c r="B1030" s="8">
        <v>11242</v>
      </c>
      <c r="C1030" s="8" t="s">
        <v>1220</v>
      </c>
      <c r="D1030" s="8" t="s">
        <v>10</v>
      </c>
      <c r="E1030" s="2" t="str">
        <f>"414.93"</f>
        <v>414.93</v>
      </c>
      <c r="F1030" s="9"/>
      <c r="G1030" s="9">
        <v>2017</v>
      </c>
      <c r="H1030" s="10"/>
      <c r="I1030" s="10"/>
      <c r="J1030" s="10"/>
      <c r="K1030" s="10"/>
      <c r="L1030" s="10"/>
      <c r="M1030" s="10"/>
      <c r="N1030" s="10"/>
      <c r="O1030" s="10"/>
      <c r="P1030" s="10"/>
      <c r="Q1030" s="10" t="str">
        <f>"740.70"</f>
        <v>740.70</v>
      </c>
      <c r="R1030" s="10"/>
      <c r="S1030" s="10"/>
      <c r="T1030" s="10"/>
      <c r="U1030" s="10"/>
      <c r="V1030" s="10"/>
      <c r="W1030" s="10"/>
      <c r="X1030" s="10"/>
      <c r="Y1030" s="10"/>
      <c r="Z1030" s="10"/>
      <c r="AA1030" s="10"/>
      <c r="AB1030" s="10"/>
      <c r="AC1030" s="10"/>
      <c r="AD1030" s="10"/>
      <c r="AE1030" s="10" t="str">
        <f>"464.56"</f>
        <v>464.56</v>
      </c>
      <c r="AF1030" s="10"/>
      <c r="AG1030" s="10"/>
      <c r="AH1030" s="10"/>
      <c r="AI1030" s="10"/>
      <c r="AJ1030" s="10"/>
      <c r="AK1030" s="10"/>
      <c r="AL1030" s="10"/>
      <c r="AM1030" s="10"/>
      <c r="AN1030" s="10" t="str">
        <f>"365.29"</f>
        <v>365.29</v>
      </c>
      <c r="AO1030" s="10"/>
    </row>
    <row r="1031" spans="1:41">
      <c r="A1031" s="8">
        <v>1029</v>
      </c>
      <c r="B1031" s="8">
        <v>10156</v>
      </c>
      <c r="C1031" s="8" t="s">
        <v>1221</v>
      </c>
      <c r="D1031" s="8" t="s">
        <v>10</v>
      </c>
      <c r="E1031" s="2" t="str">
        <f>"415.13"</f>
        <v>415.13</v>
      </c>
      <c r="F1031" s="9" t="s">
        <v>9</v>
      </c>
      <c r="G1031" s="9">
        <v>2017</v>
      </c>
      <c r="H1031" s="10" t="str">
        <f>"287.76"</f>
        <v>287.76</v>
      </c>
      <c r="I1031" s="10"/>
      <c r="J1031" s="10"/>
      <c r="K1031" s="10"/>
      <c r="L1031" s="10"/>
      <c r="M1031" s="10"/>
      <c r="N1031" s="10"/>
      <c r="O1031" s="10"/>
      <c r="P1031" s="10"/>
      <c r="Q1031" s="10" t="str">
        <f>"375.13"</f>
        <v>375.13</v>
      </c>
      <c r="R1031" s="10"/>
      <c r="S1031" s="10"/>
      <c r="T1031" s="10"/>
      <c r="U1031" s="10"/>
      <c r="V1031" s="10"/>
      <c r="W1031" s="10"/>
      <c r="X1031" s="10"/>
      <c r="Y1031" s="10"/>
      <c r="Z1031" s="10"/>
      <c r="AA1031" s="10"/>
      <c r="AB1031" s="10"/>
      <c r="AC1031" s="10"/>
      <c r="AD1031" s="10"/>
      <c r="AE1031" s="10"/>
      <c r="AF1031" s="10"/>
      <c r="AG1031" s="10"/>
      <c r="AH1031" s="10"/>
      <c r="AI1031" s="10"/>
      <c r="AJ1031" s="10"/>
      <c r="AK1031" s="10"/>
      <c r="AL1031" s="10"/>
      <c r="AM1031" s="10"/>
      <c r="AN1031" s="10"/>
      <c r="AO1031" s="10"/>
    </row>
    <row r="1032" spans="1:41">
      <c r="A1032" s="8">
        <v>1030</v>
      </c>
      <c r="B1032" s="8">
        <v>11043</v>
      </c>
      <c r="C1032" s="8" t="s">
        <v>1222</v>
      </c>
      <c r="D1032" s="8" t="s">
        <v>12</v>
      </c>
      <c r="E1032" s="2" t="str">
        <f>"415.16"</f>
        <v>415.16</v>
      </c>
      <c r="F1032" s="9" t="s">
        <v>9</v>
      </c>
      <c r="G1032" s="9">
        <v>2017</v>
      </c>
      <c r="H1032" s="10" t="str">
        <f>"441.77"</f>
        <v>441.77</v>
      </c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  <c r="S1032" s="10"/>
      <c r="T1032" s="10"/>
      <c r="U1032" s="10" t="str">
        <f>"375.16"</f>
        <v>375.16</v>
      </c>
      <c r="V1032" s="10"/>
      <c r="W1032" s="10"/>
      <c r="X1032" s="10"/>
      <c r="Y1032" s="10"/>
      <c r="Z1032" s="10"/>
      <c r="AA1032" s="10"/>
      <c r="AB1032" s="10"/>
      <c r="AC1032" s="10"/>
      <c r="AD1032" s="10"/>
      <c r="AE1032" s="10"/>
      <c r="AF1032" s="10"/>
      <c r="AG1032" s="10"/>
      <c r="AH1032" s="10"/>
      <c r="AI1032" s="10"/>
      <c r="AJ1032" s="10"/>
      <c r="AK1032" s="10"/>
      <c r="AL1032" s="10"/>
      <c r="AM1032" s="10"/>
      <c r="AN1032" s="10"/>
      <c r="AO1032" s="10"/>
    </row>
    <row r="1033" spans="1:41">
      <c r="A1033" s="8">
        <v>1031</v>
      </c>
      <c r="B1033" s="8">
        <v>10582</v>
      </c>
      <c r="C1033" s="8" t="s">
        <v>1223</v>
      </c>
      <c r="D1033" s="8" t="s">
        <v>10</v>
      </c>
      <c r="E1033" s="2" t="str">
        <f>"415.50"</f>
        <v>415.50</v>
      </c>
      <c r="F1033" s="9"/>
      <c r="G1033" s="9">
        <v>2017</v>
      </c>
      <c r="H1033" s="10" t="str">
        <f>"496.39"</f>
        <v>496.39</v>
      </c>
      <c r="I1033" s="10"/>
      <c r="J1033" s="10"/>
      <c r="K1033" s="10"/>
      <c r="L1033" s="10"/>
      <c r="M1033" s="10"/>
      <c r="N1033" s="10"/>
      <c r="O1033" s="10"/>
      <c r="P1033" s="10"/>
      <c r="Q1033" s="10" t="str">
        <f>"476.71"</f>
        <v>476.71</v>
      </c>
      <c r="R1033" s="10"/>
      <c r="S1033" s="10"/>
      <c r="T1033" s="10"/>
      <c r="U1033" s="10"/>
      <c r="V1033" s="10"/>
      <c r="W1033" s="10"/>
      <c r="X1033" s="10"/>
      <c r="Y1033" s="10"/>
      <c r="Z1033" s="10"/>
      <c r="AA1033" s="10"/>
      <c r="AB1033" s="10"/>
      <c r="AC1033" s="10"/>
      <c r="AD1033" s="10"/>
      <c r="AE1033" s="10" t="str">
        <f>"354.29"</f>
        <v>354.29</v>
      </c>
      <c r="AF1033" s="10"/>
      <c r="AG1033" s="10"/>
      <c r="AH1033" s="10"/>
      <c r="AI1033" s="10"/>
      <c r="AJ1033" s="10"/>
      <c r="AK1033" s="10"/>
      <c r="AL1033" s="10"/>
      <c r="AM1033" s="10"/>
      <c r="AN1033" s="10"/>
      <c r="AO1033" s="10"/>
    </row>
    <row r="1034" spans="1:41">
      <c r="A1034" s="8">
        <v>1032</v>
      </c>
      <c r="B1034" s="8">
        <v>11112</v>
      </c>
      <c r="C1034" s="8" t="s">
        <v>1224</v>
      </c>
      <c r="D1034" s="8" t="s">
        <v>14</v>
      </c>
      <c r="E1034" s="2" t="str">
        <f>"415.57"</f>
        <v>415.57</v>
      </c>
      <c r="F1034" s="9"/>
      <c r="G1034" s="9">
        <v>2017</v>
      </c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  <c r="S1034" s="10"/>
      <c r="T1034" s="10"/>
      <c r="U1034" s="10" t="str">
        <f>"487.77"</f>
        <v>487.77</v>
      </c>
      <c r="V1034" s="10"/>
      <c r="W1034" s="10" t="str">
        <f>"343.37"</f>
        <v>343.37</v>
      </c>
      <c r="X1034" s="10"/>
      <c r="Y1034" s="10"/>
      <c r="Z1034" s="10"/>
      <c r="AA1034" s="10"/>
      <c r="AB1034" s="10"/>
      <c r="AC1034" s="10"/>
      <c r="AD1034" s="10"/>
      <c r="AE1034" s="10"/>
      <c r="AF1034" s="10"/>
      <c r="AG1034" s="10"/>
      <c r="AH1034" s="10"/>
      <c r="AI1034" s="10"/>
      <c r="AJ1034" s="10"/>
      <c r="AK1034" s="10"/>
      <c r="AL1034" s="10"/>
      <c r="AM1034" s="10"/>
      <c r="AN1034" s="10"/>
      <c r="AO1034" s="10"/>
    </row>
    <row r="1035" spans="1:41">
      <c r="A1035" s="8">
        <v>1033</v>
      </c>
      <c r="B1035" s="8">
        <v>10728</v>
      </c>
      <c r="C1035" s="8" t="s">
        <v>1225</v>
      </c>
      <c r="D1035" s="8" t="s">
        <v>19</v>
      </c>
      <c r="E1035" s="2" t="str">
        <f>"416.75"</f>
        <v>416.75</v>
      </c>
      <c r="F1035" s="9" t="s">
        <v>9</v>
      </c>
      <c r="G1035" s="9">
        <v>2017</v>
      </c>
      <c r="H1035" s="10" t="str">
        <f>"579.35"</f>
        <v>579.35</v>
      </c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  <c r="S1035" s="10"/>
      <c r="T1035" s="10"/>
      <c r="U1035" s="10"/>
      <c r="V1035" s="10"/>
      <c r="W1035" s="10"/>
      <c r="X1035" s="10"/>
      <c r="Y1035" s="10"/>
      <c r="Z1035" s="10"/>
      <c r="AA1035" s="10"/>
      <c r="AB1035" s="10" t="str">
        <f>"376.75"</f>
        <v>376.75</v>
      </c>
      <c r="AC1035" s="10"/>
      <c r="AD1035" s="10"/>
      <c r="AE1035" s="10"/>
      <c r="AF1035" s="10"/>
      <c r="AG1035" s="10"/>
      <c r="AH1035" s="10"/>
      <c r="AI1035" s="10"/>
      <c r="AJ1035" s="10"/>
      <c r="AK1035" s="10"/>
      <c r="AL1035" s="10"/>
      <c r="AM1035" s="10"/>
      <c r="AN1035" s="10"/>
      <c r="AO1035" s="10"/>
    </row>
    <row r="1036" spans="1:41">
      <c r="A1036" s="8">
        <v>1034</v>
      </c>
      <c r="B1036" s="8">
        <v>3104</v>
      </c>
      <c r="C1036" s="8" t="s">
        <v>1226</v>
      </c>
      <c r="D1036" s="8" t="s">
        <v>94</v>
      </c>
      <c r="E1036" s="2" t="str">
        <f>"417.53"</f>
        <v>417.53</v>
      </c>
      <c r="F1036" s="9" t="s">
        <v>9</v>
      </c>
      <c r="G1036" s="9">
        <v>2017</v>
      </c>
      <c r="H1036" s="10" t="str">
        <f>"357.15"</f>
        <v>357.15</v>
      </c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  <c r="S1036" s="10"/>
      <c r="T1036" s="10"/>
      <c r="U1036" s="10"/>
      <c r="V1036" s="10"/>
      <c r="W1036" s="10"/>
      <c r="X1036" s="10"/>
      <c r="Y1036" s="10"/>
      <c r="Z1036" s="10"/>
      <c r="AA1036" s="10" t="str">
        <f>"377.53"</f>
        <v>377.53</v>
      </c>
      <c r="AB1036" s="10"/>
      <c r="AC1036" s="10"/>
      <c r="AD1036" s="10"/>
      <c r="AE1036" s="10"/>
      <c r="AF1036" s="10"/>
      <c r="AG1036" s="10"/>
      <c r="AH1036" s="10"/>
      <c r="AI1036" s="10"/>
      <c r="AJ1036" s="10"/>
      <c r="AK1036" s="10"/>
      <c r="AL1036" s="10"/>
      <c r="AM1036" s="10"/>
      <c r="AN1036" s="10"/>
      <c r="AO1036" s="10"/>
    </row>
    <row r="1037" spans="1:41">
      <c r="A1037" s="8">
        <v>1035</v>
      </c>
      <c r="B1037" s="8">
        <v>4046</v>
      </c>
      <c r="C1037" s="8" t="s">
        <v>1227</v>
      </c>
      <c r="D1037" s="8" t="s">
        <v>48</v>
      </c>
      <c r="E1037" s="2" t="str">
        <f>"418.10"</f>
        <v>418.10</v>
      </c>
      <c r="F1037" s="9"/>
      <c r="G1037" s="9">
        <v>2017</v>
      </c>
      <c r="H1037" s="10" t="str">
        <f>"510.67"</f>
        <v>510.67</v>
      </c>
      <c r="I1037" s="10"/>
      <c r="J1037" s="10"/>
      <c r="K1037" s="10"/>
      <c r="L1037" s="10"/>
      <c r="M1037" s="10"/>
      <c r="N1037" s="10" t="str">
        <f>"421.87"</f>
        <v>421.87</v>
      </c>
      <c r="O1037" s="10"/>
      <c r="P1037" s="10" t="str">
        <f>"414.33"</f>
        <v>414.33</v>
      </c>
      <c r="Q1037" s="10"/>
      <c r="R1037" s="10"/>
      <c r="S1037" s="10"/>
      <c r="T1037" s="10" t="str">
        <f>"490.46"</f>
        <v>490.46</v>
      </c>
      <c r="U1037" s="10"/>
      <c r="V1037" s="10"/>
      <c r="W1037" s="10"/>
      <c r="X1037" s="10"/>
      <c r="Y1037" s="10"/>
      <c r="Z1037" s="10"/>
      <c r="AA1037" s="10"/>
      <c r="AB1037" s="10"/>
      <c r="AC1037" s="10"/>
      <c r="AD1037" s="10"/>
      <c r="AE1037" s="10"/>
      <c r="AF1037" s="10"/>
      <c r="AG1037" s="10"/>
      <c r="AH1037" s="10"/>
      <c r="AI1037" s="10"/>
      <c r="AJ1037" s="10"/>
      <c r="AK1037" s="10"/>
      <c r="AL1037" s="10"/>
      <c r="AM1037" s="10"/>
      <c r="AN1037" s="10"/>
      <c r="AO1037" s="10"/>
    </row>
    <row r="1038" spans="1:41">
      <c r="A1038" s="8">
        <v>1036</v>
      </c>
      <c r="B1038" s="8">
        <v>10770</v>
      </c>
      <c r="C1038" s="8" t="s">
        <v>1228</v>
      </c>
      <c r="D1038" s="8" t="s">
        <v>19</v>
      </c>
      <c r="E1038" s="2" t="str">
        <f>"418.80"</f>
        <v>418.80</v>
      </c>
      <c r="F1038" s="9" t="s">
        <v>9</v>
      </c>
      <c r="G1038" s="9">
        <v>2017</v>
      </c>
      <c r="H1038" s="10" t="str">
        <f>"535.00"</f>
        <v>535.00</v>
      </c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  <c r="T1038" s="10"/>
      <c r="U1038" s="10"/>
      <c r="V1038" s="10"/>
      <c r="W1038" s="10"/>
      <c r="X1038" s="10"/>
      <c r="Y1038" s="10"/>
      <c r="Z1038" s="10"/>
      <c r="AA1038" s="10"/>
      <c r="AB1038" s="10" t="str">
        <f>"378.80"</f>
        <v>378.80</v>
      </c>
      <c r="AC1038" s="10"/>
      <c r="AD1038" s="10"/>
      <c r="AE1038" s="10"/>
      <c r="AF1038" s="10"/>
      <c r="AG1038" s="10"/>
      <c r="AH1038" s="10"/>
      <c r="AI1038" s="10"/>
      <c r="AJ1038" s="10"/>
      <c r="AK1038" s="10"/>
      <c r="AL1038" s="10"/>
      <c r="AM1038" s="10"/>
      <c r="AN1038" s="10"/>
      <c r="AO1038" s="10"/>
    </row>
    <row r="1039" spans="1:41">
      <c r="A1039" s="8">
        <v>1037</v>
      </c>
      <c r="B1039" s="8">
        <v>10737</v>
      </c>
      <c r="C1039" s="8" t="s">
        <v>1229</v>
      </c>
      <c r="D1039" s="8" t="s">
        <v>19</v>
      </c>
      <c r="E1039" s="2" t="str">
        <f>"420.85"</f>
        <v>420.85</v>
      </c>
      <c r="F1039" s="9"/>
      <c r="G1039" s="9">
        <v>2017</v>
      </c>
      <c r="H1039" s="10" t="str">
        <f>"719.10"</f>
        <v>719.10</v>
      </c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  <c r="S1039" s="10"/>
      <c r="T1039" s="10"/>
      <c r="U1039" s="10"/>
      <c r="V1039" s="10"/>
      <c r="W1039" s="10"/>
      <c r="X1039" s="10"/>
      <c r="Y1039" s="10"/>
      <c r="Z1039" s="10"/>
      <c r="AA1039" s="10"/>
      <c r="AB1039" s="10" t="str">
        <f>"456.95"</f>
        <v>456.95</v>
      </c>
      <c r="AC1039" s="10"/>
      <c r="AD1039" s="10"/>
      <c r="AE1039" s="10"/>
      <c r="AF1039" s="10"/>
      <c r="AG1039" s="10"/>
      <c r="AH1039" s="10"/>
      <c r="AI1039" s="10"/>
      <c r="AJ1039" s="10"/>
      <c r="AK1039" s="10"/>
      <c r="AL1039" s="10"/>
      <c r="AM1039" s="10"/>
      <c r="AN1039" s="10" t="str">
        <f>"384.74"</f>
        <v>384.74</v>
      </c>
      <c r="AO1039" s="10"/>
    </row>
    <row r="1040" spans="1:41">
      <c r="A1040" s="8">
        <v>1038</v>
      </c>
      <c r="B1040" s="8">
        <v>10475</v>
      </c>
      <c r="C1040" s="8" t="s">
        <v>1230</v>
      </c>
      <c r="D1040" s="8" t="s">
        <v>19</v>
      </c>
      <c r="E1040" s="2" t="str">
        <f>"422.50"</f>
        <v>422.50</v>
      </c>
      <c r="F1040" s="9"/>
      <c r="G1040" s="9">
        <v>2017</v>
      </c>
      <c r="H1040" s="10" t="str">
        <f>"718.22"</f>
        <v>718.22</v>
      </c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  <c r="S1040" s="10"/>
      <c r="T1040" s="10"/>
      <c r="U1040" s="10"/>
      <c r="V1040" s="10"/>
      <c r="W1040" s="10"/>
      <c r="X1040" s="10"/>
      <c r="Y1040" s="10"/>
      <c r="Z1040" s="10"/>
      <c r="AA1040" s="10"/>
      <c r="AB1040" s="10" t="str">
        <f>"445.44"</f>
        <v>445.44</v>
      </c>
      <c r="AC1040" s="10"/>
      <c r="AD1040" s="10"/>
      <c r="AE1040" s="10"/>
      <c r="AF1040" s="10"/>
      <c r="AG1040" s="10"/>
      <c r="AH1040" s="10"/>
      <c r="AI1040" s="10"/>
      <c r="AJ1040" s="10"/>
      <c r="AK1040" s="10"/>
      <c r="AL1040" s="10"/>
      <c r="AM1040" s="10"/>
      <c r="AN1040" s="10" t="str">
        <f>"399.56"</f>
        <v>399.56</v>
      </c>
      <c r="AO1040" s="10"/>
    </row>
    <row r="1041" spans="1:41">
      <c r="A1041" s="8">
        <v>1039</v>
      </c>
      <c r="B1041" s="8">
        <v>8066</v>
      </c>
      <c r="C1041" s="8" t="s">
        <v>1231</v>
      </c>
      <c r="D1041" s="8" t="s">
        <v>1232</v>
      </c>
      <c r="E1041" s="2" t="str">
        <f>"423.25"</f>
        <v>423.25</v>
      </c>
      <c r="F1041" s="9" t="s">
        <v>11</v>
      </c>
      <c r="G1041" s="9">
        <v>2017</v>
      </c>
      <c r="H1041" s="10" t="str">
        <f>"383.25"</f>
        <v>383.25</v>
      </c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  <c r="S1041" s="10"/>
      <c r="T1041" s="10"/>
      <c r="U1041" s="10"/>
      <c r="V1041" s="10"/>
      <c r="W1041" s="10"/>
      <c r="X1041" s="10"/>
      <c r="Y1041" s="10"/>
      <c r="Z1041" s="10"/>
      <c r="AA1041" s="10"/>
      <c r="AB1041" s="10"/>
      <c r="AC1041" s="10"/>
      <c r="AD1041" s="10"/>
      <c r="AE1041" s="10"/>
      <c r="AF1041" s="10"/>
      <c r="AG1041" s="10"/>
      <c r="AH1041" s="10"/>
      <c r="AI1041" s="10"/>
      <c r="AJ1041" s="10"/>
      <c r="AK1041" s="10"/>
      <c r="AL1041" s="10"/>
      <c r="AM1041" s="10"/>
      <c r="AN1041" s="10"/>
      <c r="AO1041" s="10"/>
    </row>
    <row r="1042" spans="1:41">
      <c r="A1042" s="8">
        <v>1040</v>
      </c>
      <c r="B1042" s="8">
        <v>10477</v>
      </c>
      <c r="C1042" s="8" t="s">
        <v>1233</v>
      </c>
      <c r="D1042" s="8" t="s">
        <v>19</v>
      </c>
      <c r="E1042" s="2" t="str">
        <f>"424.56"</f>
        <v>424.56</v>
      </c>
      <c r="F1042" s="9"/>
      <c r="G1042" s="9">
        <v>2017</v>
      </c>
      <c r="H1042" s="10" t="str">
        <f>"773.07"</f>
        <v>773.07</v>
      </c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  <c r="S1042" s="10"/>
      <c r="T1042" s="10"/>
      <c r="U1042" s="10"/>
      <c r="V1042" s="10"/>
      <c r="W1042" s="10"/>
      <c r="X1042" s="10"/>
      <c r="Y1042" s="10"/>
      <c r="Z1042" s="10"/>
      <c r="AA1042" s="10"/>
      <c r="AB1042" s="10" t="str">
        <f>"503.55"</f>
        <v>503.55</v>
      </c>
      <c r="AC1042" s="10"/>
      <c r="AD1042" s="10"/>
      <c r="AE1042" s="10"/>
      <c r="AF1042" s="10"/>
      <c r="AG1042" s="10"/>
      <c r="AH1042" s="10"/>
      <c r="AI1042" s="10"/>
      <c r="AJ1042" s="10"/>
      <c r="AK1042" s="10"/>
      <c r="AL1042" s="10"/>
      <c r="AM1042" s="10"/>
      <c r="AN1042" s="10" t="str">
        <f>"345.57"</f>
        <v>345.57</v>
      </c>
      <c r="AO1042" s="10"/>
    </row>
    <row r="1043" spans="1:41">
      <c r="A1043" s="8">
        <v>1041</v>
      </c>
      <c r="B1043" s="8">
        <v>8317</v>
      </c>
      <c r="C1043" s="8" t="s">
        <v>1234</v>
      </c>
      <c r="D1043" s="8" t="s">
        <v>40</v>
      </c>
      <c r="E1043" s="2" t="str">
        <f>"424.63"</f>
        <v>424.63</v>
      </c>
      <c r="F1043" s="9"/>
      <c r="G1043" s="9">
        <v>2017</v>
      </c>
      <c r="H1043" s="10" t="str">
        <f>"333.40"</f>
        <v>333.40</v>
      </c>
      <c r="I1043" s="10"/>
      <c r="J1043" s="10"/>
      <c r="K1043" s="10"/>
      <c r="L1043" s="10"/>
      <c r="M1043" s="10"/>
      <c r="N1043" s="10"/>
      <c r="O1043" s="10"/>
      <c r="P1043" s="10" t="str">
        <f>"440.31"</f>
        <v>440.31</v>
      </c>
      <c r="Q1043" s="10"/>
      <c r="R1043" s="10"/>
      <c r="S1043" s="10"/>
      <c r="T1043" s="10"/>
      <c r="U1043" s="10"/>
      <c r="V1043" s="10"/>
      <c r="W1043" s="10"/>
      <c r="X1043" s="10"/>
      <c r="Y1043" s="10"/>
      <c r="Z1043" s="10"/>
      <c r="AA1043" s="10"/>
      <c r="AB1043" s="10"/>
      <c r="AC1043" s="10"/>
      <c r="AD1043" s="10"/>
      <c r="AE1043" s="10"/>
      <c r="AF1043" s="10"/>
      <c r="AG1043" s="10"/>
      <c r="AH1043" s="10"/>
      <c r="AI1043" s="10"/>
      <c r="AJ1043" s="10"/>
      <c r="AK1043" s="10" t="str">
        <f>"408.95"</f>
        <v>408.95</v>
      </c>
      <c r="AL1043" s="10"/>
      <c r="AM1043" s="10"/>
      <c r="AN1043" s="10"/>
      <c r="AO1043" s="10"/>
    </row>
    <row r="1044" spans="1:41">
      <c r="A1044" s="8">
        <v>1042</v>
      </c>
      <c r="B1044" s="8">
        <v>11401</v>
      </c>
      <c r="C1044" s="8" t="s">
        <v>1235</v>
      </c>
      <c r="D1044" s="8" t="s">
        <v>662</v>
      </c>
      <c r="E1044" s="2" t="str">
        <f>"424.73"</f>
        <v>424.73</v>
      </c>
      <c r="F1044" s="9" t="s">
        <v>9</v>
      </c>
      <c r="G1044" s="9">
        <v>2017</v>
      </c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  <c r="S1044" s="10"/>
      <c r="T1044" s="10"/>
      <c r="U1044" s="10"/>
      <c r="V1044" s="10"/>
      <c r="W1044" s="10"/>
      <c r="X1044" s="10"/>
      <c r="Y1044" s="10"/>
      <c r="Z1044" s="10"/>
      <c r="AA1044" s="10" t="str">
        <f>"384.73"</f>
        <v>384.73</v>
      </c>
      <c r="AB1044" s="10"/>
      <c r="AC1044" s="10"/>
      <c r="AD1044" s="10"/>
      <c r="AE1044" s="10"/>
      <c r="AF1044" s="10"/>
      <c r="AG1044" s="10"/>
      <c r="AH1044" s="10"/>
      <c r="AI1044" s="10"/>
      <c r="AJ1044" s="10"/>
      <c r="AK1044" s="10"/>
      <c r="AL1044" s="10"/>
      <c r="AM1044" s="10"/>
      <c r="AN1044" s="10"/>
      <c r="AO1044" s="10"/>
    </row>
    <row r="1045" spans="1:41">
      <c r="A1045" s="8">
        <v>1043</v>
      </c>
      <c r="B1045" s="8">
        <v>2161</v>
      </c>
      <c r="C1045" s="8" t="s">
        <v>1236</v>
      </c>
      <c r="D1045" s="8" t="s">
        <v>10</v>
      </c>
      <c r="E1045" s="2" t="str">
        <f>"424.95"</f>
        <v>424.95</v>
      </c>
      <c r="F1045" s="9" t="s">
        <v>9</v>
      </c>
      <c r="G1045" s="9">
        <v>2017</v>
      </c>
      <c r="H1045" s="10" t="str">
        <f>"315.72"</f>
        <v>315.72</v>
      </c>
      <c r="I1045" s="10"/>
      <c r="J1045" s="10"/>
      <c r="K1045" s="10"/>
      <c r="L1045" s="10"/>
      <c r="M1045" s="10"/>
      <c r="N1045" s="10"/>
      <c r="O1045" s="10"/>
      <c r="P1045" s="10"/>
      <c r="Q1045" s="10" t="str">
        <f>"384.95"</f>
        <v>384.95</v>
      </c>
      <c r="R1045" s="10"/>
      <c r="S1045" s="10"/>
      <c r="T1045" s="10"/>
      <c r="U1045" s="10"/>
      <c r="V1045" s="10"/>
      <c r="W1045" s="10"/>
      <c r="X1045" s="10"/>
      <c r="Y1045" s="10"/>
      <c r="Z1045" s="10"/>
      <c r="AA1045" s="10"/>
      <c r="AB1045" s="10"/>
      <c r="AC1045" s="10"/>
      <c r="AD1045" s="10"/>
      <c r="AE1045" s="10"/>
      <c r="AF1045" s="10"/>
      <c r="AG1045" s="10"/>
      <c r="AH1045" s="10"/>
      <c r="AI1045" s="10"/>
      <c r="AJ1045" s="10"/>
      <c r="AK1045" s="10"/>
      <c r="AL1045" s="10"/>
      <c r="AM1045" s="10"/>
      <c r="AN1045" s="10"/>
      <c r="AO1045" s="10"/>
    </row>
    <row r="1046" spans="1:41">
      <c r="A1046" s="8">
        <v>1044</v>
      </c>
      <c r="B1046" s="8">
        <v>11291</v>
      </c>
      <c r="C1046" s="8" t="s">
        <v>1237</v>
      </c>
      <c r="D1046" s="8" t="s">
        <v>10</v>
      </c>
      <c r="E1046" s="2" t="str">
        <f>"425.08"</f>
        <v>425.08</v>
      </c>
      <c r="F1046" s="9"/>
      <c r="G1046" s="9">
        <v>2017</v>
      </c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  <c r="S1046" s="10"/>
      <c r="T1046" s="10"/>
      <c r="U1046" s="10"/>
      <c r="V1046" s="10"/>
      <c r="W1046" s="10"/>
      <c r="X1046" s="10"/>
      <c r="Y1046" s="10"/>
      <c r="Z1046" s="10"/>
      <c r="AA1046" s="10"/>
      <c r="AB1046" s="10"/>
      <c r="AC1046" s="10"/>
      <c r="AD1046" s="10"/>
      <c r="AE1046" s="10" t="str">
        <f>"416.58"</f>
        <v>416.58</v>
      </c>
      <c r="AF1046" s="10"/>
      <c r="AG1046" s="10"/>
      <c r="AH1046" s="10"/>
      <c r="AI1046" s="10"/>
      <c r="AJ1046" s="10"/>
      <c r="AK1046" s="10"/>
      <c r="AL1046" s="10"/>
      <c r="AM1046" s="10"/>
      <c r="AN1046" s="10" t="str">
        <f>"433.57"</f>
        <v>433.57</v>
      </c>
      <c r="AO1046" s="10"/>
    </row>
    <row r="1047" spans="1:41">
      <c r="A1047" s="8">
        <v>1045</v>
      </c>
      <c r="B1047" s="8">
        <v>7575</v>
      </c>
      <c r="C1047" s="8" t="s">
        <v>1238</v>
      </c>
      <c r="D1047" s="8" t="s">
        <v>147</v>
      </c>
      <c r="E1047" s="2" t="str">
        <f>"425.35"</f>
        <v>425.35</v>
      </c>
      <c r="F1047" s="9" t="s">
        <v>11</v>
      </c>
      <c r="G1047" s="9">
        <v>2017</v>
      </c>
      <c r="H1047" s="10" t="str">
        <f>"385.35"</f>
        <v>385.35</v>
      </c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  <c r="S1047" s="10"/>
      <c r="T1047" s="10"/>
      <c r="U1047" s="10"/>
      <c r="V1047" s="10"/>
      <c r="W1047" s="10"/>
      <c r="X1047" s="10"/>
      <c r="Y1047" s="10"/>
      <c r="Z1047" s="10"/>
      <c r="AA1047" s="10"/>
      <c r="AB1047" s="10"/>
      <c r="AC1047" s="10"/>
      <c r="AD1047" s="10"/>
      <c r="AE1047" s="10"/>
      <c r="AF1047" s="10"/>
      <c r="AG1047" s="10"/>
      <c r="AH1047" s="10"/>
      <c r="AI1047" s="10"/>
      <c r="AJ1047" s="10"/>
      <c r="AK1047" s="10"/>
      <c r="AL1047" s="10"/>
      <c r="AM1047" s="10"/>
      <c r="AN1047" s="10"/>
      <c r="AO1047" s="10"/>
    </row>
    <row r="1048" spans="1:41">
      <c r="A1048" s="8">
        <v>1046</v>
      </c>
      <c r="B1048" s="8">
        <v>10114</v>
      </c>
      <c r="C1048" s="8" t="s">
        <v>1239</v>
      </c>
      <c r="D1048" s="8" t="s">
        <v>10</v>
      </c>
      <c r="E1048" s="2" t="str">
        <f>"425.49"</f>
        <v>425.49</v>
      </c>
      <c r="F1048" s="9" t="s">
        <v>9</v>
      </c>
      <c r="G1048" s="9">
        <v>2017</v>
      </c>
      <c r="H1048" s="10" t="str">
        <f>"364.34"</f>
        <v>364.34</v>
      </c>
      <c r="I1048" s="10"/>
      <c r="J1048" s="10"/>
      <c r="K1048" s="10"/>
      <c r="L1048" s="10"/>
      <c r="M1048" s="10"/>
      <c r="N1048" s="10"/>
      <c r="O1048" s="10"/>
      <c r="P1048" s="10"/>
      <c r="Q1048" s="10" t="str">
        <f>"385.49"</f>
        <v>385.49</v>
      </c>
      <c r="R1048" s="10"/>
      <c r="S1048" s="10"/>
      <c r="T1048" s="10"/>
      <c r="U1048" s="10"/>
      <c r="V1048" s="10"/>
      <c r="W1048" s="10"/>
      <c r="X1048" s="10"/>
      <c r="Y1048" s="10"/>
      <c r="Z1048" s="10"/>
      <c r="AA1048" s="10"/>
      <c r="AB1048" s="10"/>
      <c r="AC1048" s="10"/>
      <c r="AD1048" s="10"/>
      <c r="AE1048" s="10"/>
      <c r="AF1048" s="10"/>
      <c r="AG1048" s="10"/>
      <c r="AH1048" s="10"/>
      <c r="AI1048" s="10"/>
      <c r="AJ1048" s="10"/>
      <c r="AK1048" s="10"/>
      <c r="AL1048" s="10"/>
      <c r="AM1048" s="10"/>
      <c r="AN1048" s="10"/>
      <c r="AO1048" s="10"/>
    </row>
    <row r="1049" spans="1:41">
      <c r="A1049" s="8">
        <v>1047</v>
      </c>
      <c r="B1049" s="8">
        <v>3398</v>
      </c>
      <c r="C1049" s="8" t="s">
        <v>1240</v>
      </c>
      <c r="D1049" s="8" t="s">
        <v>87</v>
      </c>
      <c r="E1049" s="2" t="str">
        <f>"425.88"</f>
        <v>425.88</v>
      </c>
      <c r="F1049" s="9" t="s">
        <v>9</v>
      </c>
      <c r="G1049" s="9">
        <v>2017</v>
      </c>
      <c r="H1049" s="10" t="str">
        <f>"347.78"</f>
        <v>347.78</v>
      </c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  <c r="S1049" s="10"/>
      <c r="T1049" s="10" t="str">
        <f>"385.88"</f>
        <v>385.88</v>
      </c>
      <c r="U1049" s="10"/>
      <c r="V1049" s="10"/>
      <c r="W1049" s="10"/>
      <c r="X1049" s="10"/>
      <c r="Y1049" s="10"/>
      <c r="Z1049" s="10"/>
      <c r="AA1049" s="10"/>
      <c r="AB1049" s="10"/>
      <c r="AC1049" s="10"/>
      <c r="AD1049" s="10"/>
      <c r="AE1049" s="10"/>
      <c r="AF1049" s="10"/>
      <c r="AG1049" s="10"/>
      <c r="AH1049" s="10"/>
      <c r="AI1049" s="10"/>
      <c r="AJ1049" s="10"/>
      <c r="AK1049" s="10"/>
      <c r="AL1049" s="10"/>
      <c r="AM1049" s="10"/>
      <c r="AN1049" s="10"/>
      <c r="AO1049" s="10"/>
    </row>
    <row r="1050" spans="1:41">
      <c r="A1050" s="8">
        <v>1048</v>
      </c>
      <c r="B1050" s="8">
        <v>5829</v>
      </c>
      <c r="C1050" s="8" t="s">
        <v>1241</v>
      </c>
      <c r="D1050" s="8" t="s">
        <v>58</v>
      </c>
      <c r="E1050" s="2" t="str">
        <f>"427.88"</f>
        <v>427.88</v>
      </c>
      <c r="F1050" s="9" t="s">
        <v>9</v>
      </c>
      <c r="G1050" s="9">
        <v>2017</v>
      </c>
      <c r="H1050" s="10" t="str">
        <f>"354.41"</f>
        <v>354.41</v>
      </c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  <c r="S1050" s="10" t="str">
        <f>"387.88"</f>
        <v>387.88</v>
      </c>
      <c r="T1050" s="10"/>
      <c r="U1050" s="10"/>
      <c r="V1050" s="10"/>
      <c r="W1050" s="10"/>
      <c r="X1050" s="10"/>
      <c r="Y1050" s="10"/>
      <c r="Z1050" s="10"/>
      <c r="AA1050" s="10"/>
      <c r="AB1050" s="10"/>
      <c r="AC1050" s="10"/>
      <c r="AD1050" s="10"/>
      <c r="AE1050" s="10"/>
      <c r="AF1050" s="10"/>
      <c r="AG1050" s="10"/>
      <c r="AH1050" s="10"/>
      <c r="AI1050" s="10"/>
      <c r="AJ1050" s="10"/>
      <c r="AK1050" s="10"/>
      <c r="AL1050" s="10"/>
      <c r="AM1050" s="10"/>
      <c r="AN1050" s="10"/>
      <c r="AO1050" s="10"/>
    </row>
    <row r="1051" spans="1:41">
      <c r="A1051" s="8">
        <v>1049</v>
      </c>
      <c r="B1051" s="8">
        <v>10235</v>
      </c>
      <c r="C1051" s="8" t="s">
        <v>1242</v>
      </c>
      <c r="D1051" s="8" t="s">
        <v>10</v>
      </c>
      <c r="E1051" s="2" t="str">
        <f>"429.46"</f>
        <v>429.46</v>
      </c>
      <c r="F1051" s="9"/>
      <c r="G1051" s="9">
        <v>2017</v>
      </c>
      <c r="H1051" s="10" t="str">
        <f>"603.03"</f>
        <v>603.03</v>
      </c>
      <c r="I1051" s="10"/>
      <c r="J1051" s="10"/>
      <c r="K1051" s="10"/>
      <c r="L1051" s="10"/>
      <c r="M1051" s="10"/>
      <c r="N1051" s="10"/>
      <c r="O1051" s="10"/>
      <c r="P1051" s="10"/>
      <c r="Q1051" s="10" t="str">
        <f>"461.99"</f>
        <v>461.99</v>
      </c>
      <c r="R1051" s="10"/>
      <c r="S1051" s="10"/>
      <c r="T1051" s="10"/>
      <c r="U1051" s="10"/>
      <c r="V1051" s="10"/>
      <c r="W1051" s="10"/>
      <c r="X1051" s="10"/>
      <c r="Y1051" s="10"/>
      <c r="Z1051" s="10"/>
      <c r="AA1051" s="10"/>
      <c r="AB1051" s="10"/>
      <c r="AC1051" s="10"/>
      <c r="AD1051" s="10"/>
      <c r="AE1051" s="10"/>
      <c r="AF1051" s="10"/>
      <c r="AG1051" s="10"/>
      <c r="AH1051" s="10"/>
      <c r="AI1051" s="10"/>
      <c r="AJ1051" s="10"/>
      <c r="AK1051" s="10"/>
      <c r="AL1051" s="10"/>
      <c r="AM1051" s="10"/>
      <c r="AN1051" s="10" t="str">
        <f>"396.92"</f>
        <v>396.92</v>
      </c>
      <c r="AO1051" s="10"/>
    </row>
    <row r="1052" spans="1:41">
      <c r="A1052" s="8">
        <v>1050</v>
      </c>
      <c r="B1052" s="8">
        <v>8151</v>
      </c>
      <c r="C1052" s="8" t="s">
        <v>1243</v>
      </c>
      <c r="D1052" s="8" t="s">
        <v>1244</v>
      </c>
      <c r="E1052" s="2" t="str">
        <f>"430.66"</f>
        <v>430.66</v>
      </c>
      <c r="F1052" s="9" t="s">
        <v>11</v>
      </c>
      <c r="G1052" s="9">
        <v>2017</v>
      </c>
      <c r="H1052" s="10" t="str">
        <f>"390.66"</f>
        <v>390.66</v>
      </c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  <c r="S1052" s="10"/>
      <c r="T1052" s="10"/>
      <c r="U1052" s="10"/>
      <c r="V1052" s="10"/>
      <c r="W1052" s="10"/>
      <c r="X1052" s="10"/>
      <c r="Y1052" s="10"/>
      <c r="Z1052" s="10"/>
      <c r="AA1052" s="10"/>
      <c r="AB1052" s="10"/>
      <c r="AC1052" s="10"/>
      <c r="AD1052" s="10"/>
      <c r="AE1052" s="10"/>
      <c r="AF1052" s="10"/>
      <c r="AG1052" s="10"/>
      <c r="AH1052" s="10"/>
      <c r="AI1052" s="10"/>
      <c r="AJ1052" s="10"/>
      <c r="AK1052" s="10"/>
      <c r="AL1052" s="10"/>
      <c r="AM1052" s="10"/>
      <c r="AN1052" s="10"/>
      <c r="AO1052" s="10"/>
    </row>
    <row r="1053" spans="1:41">
      <c r="A1053" s="8">
        <v>1051</v>
      </c>
      <c r="B1053" s="8">
        <v>10368</v>
      </c>
      <c r="C1053" s="8" t="s">
        <v>1245</v>
      </c>
      <c r="D1053" s="8" t="s">
        <v>286</v>
      </c>
      <c r="E1053" s="2" t="str">
        <f>"431.39"</f>
        <v>431.39</v>
      </c>
      <c r="F1053" s="9" t="s">
        <v>11</v>
      </c>
      <c r="G1053" s="9">
        <v>2017</v>
      </c>
      <c r="H1053" s="10" t="str">
        <f>"391.39"</f>
        <v>391.39</v>
      </c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  <c r="S1053" s="10"/>
      <c r="T1053" s="10"/>
      <c r="U1053" s="10"/>
      <c r="V1053" s="10"/>
      <c r="W1053" s="10"/>
      <c r="X1053" s="10"/>
      <c r="Y1053" s="10"/>
      <c r="Z1053" s="10"/>
      <c r="AA1053" s="10"/>
      <c r="AB1053" s="10"/>
      <c r="AC1053" s="10"/>
      <c r="AD1053" s="10"/>
      <c r="AE1053" s="10"/>
      <c r="AF1053" s="10"/>
      <c r="AG1053" s="10"/>
      <c r="AH1053" s="10"/>
      <c r="AI1053" s="10"/>
      <c r="AJ1053" s="10"/>
      <c r="AK1053" s="10"/>
      <c r="AL1053" s="10"/>
      <c r="AM1053" s="10"/>
      <c r="AN1053" s="10"/>
      <c r="AO1053" s="10"/>
    </row>
    <row r="1054" spans="1:41">
      <c r="A1054" s="8">
        <v>1052</v>
      </c>
      <c r="B1054" s="8">
        <v>10511</v>
      </c>
      <c r="C1054" s="8" t="s">
        <v>1246</v>
      </c>
      <c r="D1054" s="8" t="s">
        <v>14</v>
      </c>
      <c r="E1054" s="2" t="str">
        <f>"431.93"</f>
        <v>431.93</v>
      </c>
      <c r="F1054" s="9" t="s">
        <v>9</v>
      </c>
      <c r="G1054" s="9">
        <v>2017</v>
      </c>
      <c r="H1054" s="10" t="str">
        <f>"469.62"</f>
        <v>469.62</v>
      </c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  <c r="T1054" s="10"/>
      <c r="U1054" s="10"/>
      <c r="V1054" s="10"/>
      <c r="W1054" s="10"/>
      <c r="X1054" s="10" t="str">
        <f>"391.93"</f>
        <v>391.93</v>
      </c>
      <c r="Y1054" s="10"/>
      <c r="Z1054" s="10"/>
      <c r="AA1054" s="10"/>
      <c r="AB1054" s="10"/>
      <c r="AC1054" s="10"/>
      <c r="AD1054" s="10"/>
      <c r="AE1054" s="10"/>
      <c r="AF1054" s="10"/>
      <c r="AG1054" s="10"/>
      <c r="AH1054" s="10"/>
      <c r="AI1054" s="10"/>
      <c r="AJ1054" s="10"/>
      <c r="AK1054" s="10"/>
      <c r="AL1054" s="10"/>
      <c r="AM1054" s="10"/>
      <c r="AN1054" s="10"/>
      <c r="AO1054" s="10"/>
    </row>
    <row r="1055" spans="1:41">
      <c r="A1055" s="8">
        <v>1053</v>
      </c>
      <c r="B1055" s="8">
        <v>2166</v>
      </c>
      <c r="C1055" s="8" t="s">
        <v>1247</v>
      </c>
      <c r="D1055" s="8" t="s">
        <v>10</v>
      </c>
      <c r="E1055" s="2" t="str">
        <f>"433.59"</f>
        <v>433.59</v>
      </c>
      <c r="F1055" s="9"/>
      <c r="G1055" s="9">
        <v>2017</v>
      </c>
      <c r="H1055" s="10" t="str">
        <f>"383.69"</f>
        <v>383.69</v>
      </c>
      <c r="I1055" s="10"/>
      <c r="J1055" s="10"/>
      <c r="K1055" s="10"/>
      <c r="L1055" s="10"/>
      <c r="M1055" s="10"/>
      <c r="N1055" s="10"/>
      <c r="O1055" s="10"/>
      <c r="P1055" s="10"/>
      <c r="Q1055" s="10" t="str">
        <f>"428.58"</f>
        <v>428.58</v>
      </c>
      <c r="R1055" s="10"/>
      <c r="S1055" s="10"/>
      <c r="T1055" s="10"/>
      <c r="U1055" s="10"/>
      <c r="V1055" s="10"/>
      <c r="W1055" s="10"/>
      <c r="X1055" s="10"/>
      <c r="Y1055" s="10"/>
      <c r="Z1055" s="10"/>
      <c r="AA1055" s="10"/>
      <c r="AB1055" s="10"/>
      <c r="AC1055" s="10"/>
      <c r="AD1055" s="10"/>
      <c r="AE1055" s="10" t="str">
        <f>"438.59"</f>
        <v>438.59</v>
      </c>
      <c r="AF1055" s="10"/>
      <c r="AG1055" s="10"/>
      <c r="AH1055" s="10"/>
      <c r="AI1055" s="10"/>
      <c r="AJ1055" s="10"/>
      <c r="AK1055" s="10"/>
      <c r="AL1055" s="10"/>
      <c r="AM1055" s="10"/>
      <c r="AN1055" s="10"/>
      <c r="AO1055" s="10"/>
    </row>
    <row r="1056" spans="1:41">
      <c r="A1056" s="8">
        <v>1054</v>
      </c>
      <c r="B1056" s="8">
        <v>11072</v>
      </c>
      <c r="C1056" s="8" t="s">
        <v>1248</v>
      </c>
      <c r="D1056" s="8" t="s">
        <v>12</v>
      </c>
      <c r="E1056" s="2" t="str">
        <f>"433.71"</f>
        <v>433.71</v>
      </c>
      <c r="F1056" s="9" t="s">
        <v>11</v>
      </c>
      <c r="G1056" s="9">
        <v>2017</v>
      </c>
      <c r="H1056" s="10" t="str">
        <f>"393.71"</f>
        <v>393.71</v>
      </c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  <c r="S1056" s="10"/>
      <c r="T1056" s="10"/>
      <c r="U1056" s="10"/>
      <c r="V1056" s="10"/>
      <c r="W1056" s="10"/>
      <c r="X1056" s="10"/>
      <c r="Y1056" s="10"/>
      <c r="Z1056" s="10"/>
      <c r="AA1056" s="10"/>
      <c r="AB1056" s="10"/>
      <c r="AC1056" s="10"/>
      <c r="AD1056" s="10"/>
      <c r="AE1056" s="10"/>
      <c r="AF1056" s="10"/>
      <c r="AG1056" s="10"/>
      <c r="AH1056" s="10"/>
      <c r="AI1056" s="10"/>
      <c r="AJ1056" s="10"/>
      <c r="AK1056" s="10"/>
      <c r="AL1056" s="10"/>
      <c r="AM1056" s="10"/>
      <c r="AN1056" s="10"/>
      <c r="AO1056" s="10"/>
    </row>
    <row r="1057" spans="1:41">
      <c r="A1057" s="8">
        <v>1055</v>
      </c>
      <c r="B1057" s="8">
        <v>10889</v>
      </c>
      <c r="C1057" s="8" t="s">
        <v>1249</v>
      </c>
      <c r="D1057" s="8" t="s">
        <v>10</v>
      </c>
      <c r="E1057" s="2" t="str">
        <f>"435.94"</f>
        <v>435.94</v>
      </c>
      <c r="F1057" s="9"/>
      <c r="G1057" s="9">
        <v>2017</v>
      </c>
      <c r="H1057" s="10"/>
      <c r="I1057" s="10"/>
      <c r="J1057" s="10"/>
      <c r="K1057" s="10"/>
      <c r="L1057" s="10"/>
      <c r="M1057" s="10"/>
      <c r="N1057" s="10"/>
      <c r="O1057" s="10"/>
      <c r="P1057" s="10"/>
      <c r="Q1057" s="10" t="str">
        <f>"526.21"</f>
        <v>526.21</v>
      </c>
      <c r="R1057" s="10"/>
      <c r="S1057" s="10"/>
      <c r="T1057" s="10"/>
      <c r="U1057" s="10"/>
      <c r="V1057" s="10"/>
      <c r="W1057" s="10"/>
      <c r="X1057" s="10"/>
      <c r="Y1057" s="10"/>
      <c r="Z1057" s="10"/>
      <c r="AA1057" s="10"/>
      <c r="AB1057" s="10"/>
      <c r="AC1057" s="10"/>
      <c r="AD1057" s="10"/>
      <c r="AE1057" s="10" t="str">
        <f>"345.67"</f>
        <v>345.67</v>
      </c>
      <c r="AF1057" s="10"/>
      <c r="AG1057" s="10"/>
      <c r="AH1057" s="10"/>
      <c r="AI1057" s="10"/>
      <c r="AJ1057" s="10"/>
      <c r="AK1057" s="10"/>
      <c r="AL1057" s="10"/>
      <c r="AM1057" s="10"/>
      <c r="AN1057" s="10"/>
      <c r="AO1057" s="10"/>
    </row>
    <row r="1058" spans="1:41">
      <c r="A1058" s="8">
        <v>1056</v>
      </c>
      <c r="B1058" s="8">
        <v>3922</v>
      </c>
      <c r="C1058" s="8" t="s">
        <v>1250</v>
      </c>
      <c r="D1058" s="8" t="s">
        <v>189</v>
      </c>
      <c r="E1058" s="2" t="str">
        <f>"436.04"</f>
        <v>436.04</v>
      </c>
      <c r="F1058" s="9"/>
      <c r="G1058" s="9">
        <v>2017</v>
      </c>
      <c r="H1058" s="10" t="str">
        <f>"572.24"</f>
        <v>572.24</v>
      </c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 t="str">
        <f>"514.46"</f>
        <v>514.46</v>
      </c>
      <c r="T1058" s="10"/>
      <c r="U1058" s="10"/>
      <c r="V1058" s="10"/>
      <c r="W1058" s="10"/>
      <c r="X1058" s="10"/>
      <c r="Y1058" s="10"/>
      <c r="Z1058" s="10"/>
      <c r="AA1058" s="10"/>
      <c r="AB1058" s="10"/>
      <c r="AC1058" s="10" t="str">
        <f>"466.52"</f>
        <v>466.52</v>
      </c>
      <c r="AD1058" s="10"/>
      <c r="AE1058" s="10"/>
      <c r="AF1058" s="10"/>
      <c r="AG1058" s="10"/>
      <c r="AH1058" s="10"/>
      <c r="AI1058" s="10" t="str">
        <f>"405.55"</f>
        <v>405.55</v>
      </c>
      <c r="AJ1058" s="10"/>
      <c r="AK1058" s="10"/>
      <c r="AL1058" s="10"/>
      <c r="AM1058" s="10"/>
      <c r="AN1058" s="10"/>
      <c r="AO1058" s="10"/>
    </row>
    <row r="1059" spans="1:41">
      <c r="A1059" s="8">
        <v>1057</v>
      </c>
      <c r="B1059" s="8">
        <v>10392</v>
      </c>
      <c r="C1059" s="8" t="s">
        <v>1251</v>
      </c>
      <c r="D1059" s="8" t="s">
        <v>19</v>
      </c>
      <c r="E1059" s="2" t="str">
        <f>"436.07"</f>
        <v>436.07</v>
      </c>
      <c r="F1059" s="9"/>
      <c r="G1059" s="9">
        <v>2017</v>
      </c>
      <c r="H1059" s="10" t="str">
        <f>"535.84"</f>
        <v>535.84</v>
      </c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  <c r="S1059" s="10"/>
      <c r="T1059" s="10"/>
      <c r="U1059" s="10"/>
      <c r="V1059" s="10"/>
      <c r="W1059" s="10"/>
      <c r="X1059" s="10"/>
      <c r="Y1059" s="10"/>
      <c r="Z1059" s="10"/>
      <c r="AA1059" s="10"/>
      <c r="AB1059" s="10" t="str">
        <f>"440.06"</f>
        <v>440.06</v>
      </c>
      <c r="AC1059" s="10"/>
      <c r="AD1059" s="10"/>
      <c r="AE1059" s="10"/>
      <c r="AF1059" s="10"/>
      <c r="AG1059" s="10"/>
      <c r="AH1059" s="10"/>
      <c r="AI1059" s="10"/>
      <c r="AJ1059" s="10"/>
      <c r="AK1059" s="10"/>
      <c r="AL1059" s="10"/>
      <c r="AM1059" s="10" t="str">
        <f>"432.07"</f>
        <v>432.07</v>
      </c>
      <c r="AN1059" s="10"/>
      <c r="AO1059" s="10"/>
    </row>
    <row r="1060" spans="1:41">
      <c r="A1060" s="8">
        <v>1058</v>
      </c>
      <c r="B1060" s="8">
        <v>2269</v>
      </c>
      <c r="C1060" s="8" t="s">
        <v>1252</v>
      </c>
      <c r="D1060" s="8" t="s">
        <v>1172</v>
      </c>
      <c r="E1060" s="2" t="str">
        <f>"437.23"</f>
        <v>437.23</v>
      </c>
      <c r="F1060" s="9"/>
      <c r="G1060" s="9">
        <v>2017</v>
      </c>
      <c r="H1060" s="10" t="str">
        <f>"507.03"</f>
        <v>507.03</v>
      </c>
      <c r="I1060" s="10"/>
      <c r="J1060" s="10"/>
      <c r="K1060" s="10"/>
      <c r="L1060" s="10"/>
      <c r="M1060" s="10"/>
      <c r="N1060" s="10" t="str">
        <f>"453.97"</f>
        <v>453.97</v>
      </c>
      <c r="O1060" s="10"/>
      <c r="P1060" s="10" t="str">
        <f>"420.49"</f>
        <v>420.49</v>
      </c>
      <c r="Q1060" s="10"/>
      <c r="R1060" s="10"/>
      <c r="S1060" s="10"/>
      <c r="T1060" s="10"/>
      <c r="U1060" s="10"/>
      <c r="V1060" s="10"/>
      <c r="W1060" s="10"/>
      <c r="X1060" s="10"/>
      <c r="Y1060" s="10"/>
      <c r="Z1060" s="10"/>
      <c r="AA1060" s="10"/>
      <c r="AB1060" s="10"/>
      <c r="AC1060" s="10"/>
      <c r="AD1060" s="10"/>
      <c r="AE1060" s="10"/>
      <c r="AF1060" s="10"/>
      <c r="AG1060" s="10"/>
      <c r="AH1060" s="10"/>
      <c r="AI1060" s="10"/>
      <c r="AJ1060" s="10"/>
      <c r="AK1060" s="10"/>
      <c r="AL1060" s="10"/>
      <c r="AM1060" s="10"/>
      <c r="AN1060" s="10"/>
      <c r="AO1060" s="10"/>
    </row>
    <row r="1061" spans="1:41">
      <c r="A1061" s="8">
        <v>1059</v>
      </c>
      <c r="B1061" s="8">
        <v>1264</v>
      </c>
      <c r="C1061" s="8" t="s">
        <v>1253</v>
      </c>
      <c r="D1061" s="8" t="s">
        <v>63</v>
      </c>
      <c r="E1061" s="2" t="str">
        <f>"437.60"</f>
        <v>437.60</v>
      </c>
      <c r="F1061" s="9" t="s">
        <v>11</v>
      </c>
      <c r="G1061" s="9">
        <v>2017</v>
      </c>
      <c r="H1061" s="10" t="str">
        <f>"397.60"</f>
        <v>397.60</v>
      </c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  <c r="S1061" s="10"/>
      <c r="T1061" s="10"/>
      <c r="U1061" s="10"/>
      <c r="V1061" s="10"/>
      <c r="W1061" s="10"/>
      <c r="X1061" s="10"/>
      <c r="Y1061" s="10"/>
      <c r="Z1061" s="10"/>
      <c r="AA1061" s="10"/>
      <c r="AB1061" s="10"/>
      <c r="AC1061" s="10"/>
      <c r="AD1061" s="10"/>
      <c r="AE1061" s="10"/>
      <c r="AF1061" s="10"/>
      <c r="AG1061" s="10"/>
      <c r="AH1061" s="10"/>
      <c r="AI1061" s="10"/>
      <c r="AJ1061" s="10"/>
      <c r="AK1061" s="10"/>
      <c r="AL1061" s="10"/>
      <c r="AM1061" s="10"/>
      <c r="AN1061" s="10"/>
      <c r="AO1061" s="10"/>
    </row>
    <row r="1062" spans="1:41">
      <c r="A1062" s="8">
        <v>1060</v>
      </c>
      <c r="B1062" s="8">
        <v>10486</v>
      </c>
      <c r="C1062" s="8" t="s">
        <v>1254</v>
      </c>
      <c r="D1062" s="8" t="s">
        <v>19</v>
      </c>
      <c r="E1062" s="2" t="str">
        <f>"439.59"</f>
        <v>439.59</v>
      </c>
      <c r="F1062" s="9" t="s">
        <v>9</v>
      </c>
      <c r="G1062" s="9">
        <v>2017</v>
      </c>
      <c r="H1062" s="10" t="str">
        <f>"423.85"</f>
        <v>423.85</v>
      </c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  <c r="S1062" s="10"/>
      <c r="T1062" s="10"/>
      <c r="U1062" s="10"/>
      <c r="V1062" s="10"/>
      <c r="W1062" s="10"/>
      <c r="X1062" s="10"/>
      <c r="Y1062" s="10"/>
      <c r="Z1062" s="10"/>
      <c r="AA1062" s="10"/>
      <c r="AB1062" s="10" t="str">
        <f>"399.59"</f>
        <v>399.59</v>
      </c>
      <c r="AC1062" s="10"/>
      <c r="AD1062" s="10"/>
      <c r="AE1062" s="10"/>
      <c r="AF1062" s="10"/>
      <c r="AG1062" s="10"/>
      <c r="AH1062" s="10"/>
      <c r="AI1062" s="10"/>
      <c r="AJ1062" s="10"/>
      <c r="AK1062" s="10"/>
      <c r="AL1062" s="10"/>
      <c r="AM1062" s="10"/>
      <c r="AN1062" s="10"/>
      <c r="AO1062" s="10"/>
    </row>
    <row r="1063" spans="1:41">
      <c r="A1063" s="8">
        <v>1061</v>
      </c>
      <c r="B1063" s="8">
        <v>10119</v>
      </c>
      <c r="C1063" s="8" t="s">
        <v>1255</v>
      </c>
      <c r="D1063" s="8" t="s">
        <v>10</v>
      </c>
      <c r="E1063" s="2" t="str">
        <f>"439.73"</f>
        <v>439.73</v>
      </c>
      <c r="F1063" s="9"/>
      <c r="G1063" s="9">
        <v>2017</v>
      </c>
      <c r="H1063" s="10" t="str">
        <f>"446.64"</f>
        <v>446.64</v>
      </c>
      <c r="I1063" s="10"/>
      <c r="J1063" s="10"/>
      <c r="K1063" s="10"/>
      <c r="L1063" s="10"/>
      <c r="M1063" s="10"/>
      <c r="N1063" s="10"/>
      <c r="O1063" s="10"/>
      <c r="P1063" s="10"/>
      <c r="Q1063" s="10" t="str">
        <f>"473.03"</f>
        <v>473.03</v>
      </c>
      <c r="R1063" s="10"/>
      <c r="S1063" s="10"/>
      <c r="T1063" s="10"/>
      <c r="U1063" s="10"/>
      <c r="V1063" s="10"/>
      <c r="W1063" s="10"/>
      <c r="X1063" s="10"/>
      <c r="Y1063" s="10"/>
      <c r="Z1063" s="10"/>
      <c r="AA1063" s="10"/>
      <c r="AB1063" s="10"/>
      <c r="AC1063" s="10"/>
      <c r="AD1063" s="10"/>
      <c r="AE1063" s="10"/>
      <c r="AF1063" s="10"/>
      <c r="AG1063" s="10"/>
      <c r="AH1063" s="10"/>
      <c r="AI1063" s="10"/>
      <c r="AJ1063" s="10"/>
      <c r="AK1063" s="10"/>
      <c r="AL1063" s="10" t="str">
        <f>"406.43"</f>
        <v>406.43</v>
      </c>
      <c r="AM1063" s="10"/>
      <c r="AN1063" s="10"/>
      <c r="AO1063" s="10"/>
    </row>
    <row r="1064" spans="1:41">
      <c r="A1064" s="8">
        <v>1062</v>
      </c>
      <c r="B1064" s="8">
        <v>11290</v>
      </c>
      <c r="C1064" s="8" t="s">
        <v>1256</v>
      </c>
      <c r="D1064" s="8" t="s">
        <v>10</v>
      </c>
      <c r="E1064" s="2" t="str">
        <f>"440.03"</f>
        <v>440.03</v>
      </c>
      <c r="F1064" s="9"/>
      <c r="G1064" s="9">
        <v>2017</v>
      </c>
      <c r="H1064" s="10"/>
      <c r="I1064" s="10"/>
      <c r="J1064" s="10"/>
      <c r="K1064" s="10"/>
      <c r="L1064" s="10"/>
      <c r="M1064" s="10"/>
      <c r="N1064" s="10"/>
      <c r="O1064" s="10"/>
      <c r="P1064" s="10"/>
      <c r="Q1064" s="10" t="str">
        <f>"551.30"</f>
        <v>551.30</v>
      </c>
      <c r="R1064" s="10"/>
      <c r="S1064" s="10"/>
      <c r="T1064" s="10"/>
      <c r="U1064" s="10"/>
      <c r="V1064" s="10"/>
      <c r="W1064" s="10"/>
      <c r="X1064" s="10"/>
      <c r="Y1064" s="10"/>
      <c r="Z1064" s="10"/>
      <c r="AA1064" s="10"/>
      <c r="AB1064" s="10"/>
      <c r="AC1064" s="10"/>
      <c r="AD1064" s="10"/>
      <c r="AE1064" s="10"/>
      <c r="AF1064" s="10"/>
      <c r="AG1064" s="10"/>
      <c r="AH1064" s="10"/>
      <c r="AI1064" s="10"/>
      <c r="AJ1064" s="10"/>
      <c r="AK1064" s="10"/>
      <c r="AL1064" s="10"/>
      <c r="AM1064" s="10"/>
      <c r="AN1064" s="10" t="str">
        <f>"328.76"</f>
        <v>328.76</v>
      </c>
      <c r="AO1064" s="10"/>
    </row>
    <row r="1065" spans="1:41">
      <c r="A1065" s="8">
        <v>1063</v>
      </c>
      <c r="B1065" s="8">
        <v>10791</v>
      </c>
      <c r="C1065" s="8" t="s">
        <v>1257</v>
      </c>
      <c r="D1065" s="8" t="s">
        <v>10</v>
      </c>
      <c r="E1065" s="2" t="str">
        <f>"440.20"</f>
        <v>440.20</v>
      </c>
      <c r="F1065" s="9"/>
      <c r="G1065" s="9">
        <v>2017</v>
      </c>
      <c r="H1065" s="10" t="str">
        <f>"779.93"</f>
        <v>779.93</v>
      </c>
      <c r="I1065" s="10"/>
      <c r="J1065" s="10"/>
      <c r="K1065" s="10"/>
      <c r="L1065" s="10"/>
      <c r="M1065" s="10"/>
      <c r="N1065" s="10"/>
      <c r="O1065" s="10"/>
      <c r="P1065" s="10"/>
      <c r="Q1065" s="10" t="str">
        <f>"499.76"</f>
        <v>499.76</v>
      </c>
      <c r="R1065" s="10"/>
      <c r="S1065" s="10"/>
      <c r="T1065" s="10"/>
      <c r="U1065" s="10"/>
      <c r="V1065" s="10"/>
      <c r="W1065" s="10"/>
      <c r="X1065" s="10"/>
      <c r="Y1065" s="10"/>
      <c r="Z1065" s="10"/>
      <c r="AA1065" s="10"/>
      <c r="AB1065" s="10"/>
      <c r="AC1065" s="10"/>
      <c r="AD1065" s="10"/>
      <c r="AE1065" s="10"/>
      <c r="AF1065" s="10"/>
      <c r="AG1065" s="10"/>
      <c r="AH1065" s="10"/>
      <c r="AI1065" s="10"/>
      <c r="AJ1065" s="10"/>
      <c r="AK1065" s="10"/>
      <c r="AL1065" s="10"/>
      <c r="AM1065" s="10"/>
      <c r="AN1065" s="10" t="str">
        <f>"380.64"</f>
        <v>380.64</v>
      </c>
      <c r="AO1065" s="10"/>
    </row>
    <row r="1066" spans="1:41">
      <c r="A1066" s="8">
        <v>1064</v>
      </c>
      <c r="B1066" s="8">
        <v>10183</v>
      </c>
      <c r="C1066" s="8" t="s">
        <v>1258</v>
      </c>
      <c r="D1066" s="8" t="s">
        <v>10</v>
      </c>
      <c r="E1066" s="2" t="str">
        <f>"441.01"</f>
        <v>441.01</v>
      </c>
      <c r="F1066" s="9"/>
      <c r="G1066" s="9">
        <v>2017</v>
      </c>
      <c r="H1066" s="10" t="str">
        <f>"608.97"</f>
        <v>608.97</v>
      </c>
      <c r="I1066" s="10"/>
      <c r="J1066" s="10"/>
      <c r="K1066" s="10"/>
      <c r="L1066" s="10"/>
      <c r="M1066" s="10"/>
      <c r="N1066" s="10"/>
      <c r="O1066" s="10"/>
      <c r="P1066" s="10"/>
      <c r="Q1066" s="10" t="str">
        <f>"473.85"</f>
        <v>473.85</v>
      </c>
      <c r="R1066" s="10"/>
      <c r="S1066" s="10"/>
      <c r="T1066" s="10"/>
      <c r="U1066" s="10"/>
      <c r="V1066" s="10"/>
      <c r="W1066" s="10"/>
      <c r="X1066" s="10"/>
      <c r="Y1066" s="10"/>
      <c r="Z1066" s="10"/>
      <c r="AA1066" s="10"/>
      <c r="AB1066" s="10"/>
      <c r="AC1066" s="10"/>
      <c r="AD1066" s="10"/>
      <c r="AE1066" s="10"/>
      <c r="AF1066" s="10"/>
      <c r="AG1066" s="10"/>
      <c r="AH1066" s="10"/>
      <c r="AI1066" s="10"/>
      <c r="AJ1066" s="10"/>
      <c r="AK1066" s="10"/>
      <c r="AL1066" s="10"/>
      <c r="AM1066" s="10"/>
      <c r="AN1066" s="10" t="str">
        <f>"408.16"</f>
        <v>408.16</v>
      </c>
      <c r="AO1066" s="10"/>
    </row>
    <row r="1067" spans="1:41">
      <c r="A1067" s="8">
        <v>1065</v>
      </c>
      <c r="B1067" s="8">
        <v>10189</v>
      </c>
      <c r="C1067" s="8" t="s">
        <v>1259</v>
      </c>
      <c r="D1067" s="8" t="s">
        <v>10</v>
      </c>
      <c r="E1067" s="2" t="str">
        <f>"441.78"</f>
        <v>441.78</v>
      </c>
      <c r="F1067" s="9"/>
      <c r="G1067" s="9">
        <v>2017</v>
      </c>
      <c r="H1067" s="10" t="str">
        <f>"600.29"</f>
        <v>600.29</v>
      </c>
      <c r="I1067" s="10"/>
      <c r="J1067" s="10"/>
      <c r="K1067" s="10"/>
      <c r="L1067" s="10"/>
      <c r="M1067" s="10"/>
      <c r="N1067" s="10"/>
      <c r="O1067" s="10"/>
      <c r="P1067" s="10"/>
      <c r="Q1067" s="10" t="str">
        <f>"548.98"</f>
        <v>548.98</v>
      </c>
      <c r="R1067" s="10"/>
      <c r="S1067" s="10"/>
      <c r="T1067" s="10"/>
      <c r="U1067" s="10"/>
      <c r="V1067" s="10"/>
      <c r="W1067" s="10"/>
      <c r="X1067" s="10"/>
      <c r="Y1067" s="10"/>
      <c r="Z1067" s="10"/>
      <c r="AA1067" s="10"/>
      <c r="AB1067" s="10"/>
      <c r="AC1067" s="10"/>
      <c r="AD1067" s="10"/>
      <c r="AE1067" s="10"/>
      <c r="AF1067" s="10"/>
      <c r="AG1067" s="10"/>
      <c r="AH1067" s="10"/>
      <c r="AI1067" s="10"/>
      <c r="AJ1067" s="10"/>
      <c r="AK1067" s="10"/>
      <c r="AL1067" s="10"/>
      <c r="AM1067" s="10"/>
      <c r="AN1067" s="10" t="str">
        <f>"334.58"</f>
        <v>334.58</v>
      </c>
      <c r="AO1067" s="10"/>
    </row>
    <row r="1068" spans="1:41">
      <c r="A1068" s="8">
        <v>1066</v>
      </c>
      <c r="B1068" s="8">
        <v>9992</v>
      </c>
      <c r="C1068" s="8" t="s">
        <v>1260</v>
      </c>
      <c r="D1068" s="8" t="s">
        <v>180</v>
      </c>
      <c r="E1068" s="2" t="str">
        <f>"441.87"</f>
        <v>441.87</v>
      </c>
      <c r="F1068" s="9"/>
      <c r="G1068" s="9">
        <v>2017</v>
      </c>
      <c r="H1068" s="10" t="str">
        <f>"392.11"</f>
        <v>392.11</v>
      </c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  <c r="S1068" s="10"/>
      <c r="T1068" s="10"/>
      <c r="U1068" s="10" t="str">
        <f>"437.49"</f>
        <v>437.49</v>
      </c>
      <c r="V1068" s="10"/>
      <c r="W1068" s="10"/>
      <c r="X1068" s="10" t="str">
        <f>"446.25"</f>
        <v>446.25</v>
      </c>
      <c r="Y1068" s="10"/>
      <c r="Z1068" s="10"/>
      <c r="AA1068" s="10"/>
      <c r="AB1068" s="10"/>
      <c r="AC1068" s="10"/>
      <c r="AD1068" s="10"/>
      <c r="AE1068" s="10"/>
      <c r="AF1068" s="10"/>
      <c r="AG1068" s="10"/>
      <c r="AH1068" s="10"/>
      <c r="AI1068" s="10"/>
      <c r="AJ1068" s="10"/>
      <c r="AK1068" s="10"/>
      <c r="AL1068" s="10"/>
      <c r="AM1068" s="10"/>
      <c r="AN1068" s="10"/>
      <c r="AO1068" s="10"/>
    </row>
    <row r="1069" spans="1:41">
      <c r="A1069" s="8">
        <v>1067</v>
      </c>
      <c r="B1069" s="8">
        <v>11175</v>
      </c>
      <c r="C1069" s="8" t="s">
        <v>1261</v>
      </c>
      <c r="D1069" s="8" t="s">
        <v>19</v>
      </c>
      <c r="E1069" s="2" t="str">
        <f>"442.00"</f>
        <v>442.00</v>
      </c>
      <c r="F1069" s="9" t="s">
        <v>9</v>
      </c>
      <c r="G1069" s="9">
        <v>2017</v>
      </c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  <c r="S1069" s="10"/>
      <c r="T1069" s="10"/>
      <c r="U1069" s="10"/>
      <c r="V1069" s="10"/>
      <c r="W1069" s="10"/>
      <c r="X1069" s="10"/>
      <c r="Y1069" s="10"/>
      <c r="Z1069" s="10"/>
      <c r="AA1069" s="10"/>
      <c r="AB1069" s="10" t="str">
        <f>"402.00"</f>
        <v>402.00</v>
      </c>
      <c r="AC1069" s="10"/>
      <c r="AD1069" s="10"/>
      <c r="AE1069" s="10"/>
      <c r="AF1069" s="10"/>
      <c r="AG1069" s="10"/>
      <c r="AH1069" s="10"/>
      <c r="AI1069" s="10"/>
      <c r="AJ1069" s="10"/>
      <c r="AK1069" s="10"/>
      <c r="AL1069" s="10"/>
      <c r="AM1069" s="10"/>
      <c r="AN1069" s="10"/>
      <c r="AO1069" s="10"/>
    </row>
    <row r="1070" spans="1:41">
      <c r="A1070" s="8">
        <v>1068</v>
      </c>
      <c r="B1070" s="8">
        <v>10452</v>
      </c>
      <c r="C1070" s="8" t="s">
        <v>1262</v>
      </c>
      <c r="D1070" s="8" t="s">
        <v>19</v>
      </c>
      <c r="E1070" s="2" t="str">
        <f>"442.83"</f>
        <v>442.83</v>
      </c>
      <c r="F1070" s="9" t="s">
        <v>11</v>
      </c>
      <c r="G1070" s="9">
        <v>2017</v>
      </c>
      <c r="H1070" s="10" t="str">
        <f>"402.83"</f>
        <v>402.83</v>
      </c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  <c r="S1070" s="10"/>
      <c r="T1070" s="10"/>
      <c r="U1070" s="10"/>
      <c r="V1070" s="10"/>
      <c r="W1070" s="10"/>
      <c r="X1070" s="10"/>
      <c r="Y1070" s="10"/>
      <c r="Z1070" s="10"/>
      <c r="AA1070" s="10"/>
      <c r="AB1070" s="10"/>
      <c r="AC1070" s="10"/>
      <c r="AD1070" s="10"/>
      <c r="AE1070" s="10"/>
      <c r="AF1070" s="10"/>
      <c r="AG1070" s="10"/>
      <c r="AH1070" s="10"/>
      <c r="AI1070" s="10"/>
      <c r="AJ1070" s="10"/>
      <c r="AK1070" s="10"/>
      <c r="AL1070" s="10"/>
      <c r="AM1070" s="10"/>
      <c r="AN1070" s="10"/>
      <c r="AO1070" s="10"/>
    </row>
    <row r="1071" spans="1:41">
      <c r="A1071" s="8">
        <v>1069</v>
      </c>
      <c r="B1071" s="8">
        <v>10905</v>
      </c>
      <c r="C1071" s="8" t="s">
        <v>1263</v>
      </c>
      <c r="D1071" s="8" t="s">
        <v>10</v>
      </c>
      <c r="E1071" s="2" t="str">
        <f>"443.08"</f>
        <v>443.08</v>
      </c>
      <c r="F1071" s="9" t="s">
        <v>9</v>
      </c>
      <c r="G1071" s="9">
        <v>2017</v>
      </c>
      <c r="H1071" s="10"/>
      <c r="I1071" s="10"/>
      <c r="J1071" s="10"/>
      <c r="K1071" s="10"/>
      <c r="L1071" s="10"/>
      <c r="M1071" s="10"/>
      <c r="N1071" s="10"/>
      <c r="O1071" s="10"/>
      <c r="P1071" s="10"/>
      <c r="Q1071" s="10" t="str">
        <f>"403.08"</f>
        <v>403.08</v>
      </c>
      <c r="R1071" s="10"/>
      <c r="S1071" s="10"/>
      <c r="T1071" s="10"/>
      <c r="U1071" s="10"/>
      <c r="V1071" s="10"/>
      <c r="W1071" s="10"/>
      <c r="X1071" s="10"/>
      <c r="Y1071" s="10"/>
      <c r="Z1071" s="10"/>
      <c r="AA1071" s="10"/>
      <c r="AB1071" s="10"/>
      <c r="AC1071" s="10"/>
      <c r="AD1071" s="10"/>
      <c r="AE1071" s="10"/>
      <c r="AF1071" s="10"/>
      <c r="AG1071" s="10"/>
      <c r="AH1071" s="10"/>
      <c r="AI1071" s="10"/>
      <c r="AJ1071" s="10"/>
      <c r="AK1071" s="10"/>
      <c r="AL1071" s="10"/>
      <c r="AM1071" s="10"/>
      <c r="AN1071" s="10"/>
      <c r="AO1071" s="10"/>
    </row>
    <row r="1072" spans="1:41">
      <c r="A1072" s="8">
        <v>1070</v>
      </c>
      <c r="B1072" s="8">
        <v>10471</v>
      </c>
      <c r="C1072" s="8" t="s">
        <v>1264</v>
      </c>
      <c r="D1072" s="8" t="s">
        <v>19</v>
      </c>
      <c r="E1072" s="2" t="str">
        <f>"444.60"</f>
        <v>444.60</v>
      </c>
      <c r="F1072" s="9"/>
      <c r="G1072" s="9">
        <v>2017</v>
      </c>
      <c r="H1072" s="10" t="str">
        <f>"853.06"</f>
        <v>853.06</v>
      </c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  <c r="S1072" s="10"/>
      <c r="T1072" s="10"/>
      <c r="U1072" s="10"/>
      <c r="V1072" s="10"/>
      <c r="W1072" s="10"/>
      <c r="X1072" s="10"/>
      <c r="Y1072" s="10"/>
      <c r="Z1072" s="10"/>
      <c r="AA1072" s="10"/>
      <c r="AB1072" s="10" t="str">
        <f>"515.43"</f>
        <v>515.43</v>
      </c>
      <c r="AC1072" s="10"/>
      <c r="AD1072" s="10"/>
      <c r="AE1072" s="10"/>
      <c r="AF1072" s="10"/>
      <c r="AG1072" s="10"/>
      <c r="AH1072" s="10"/>
      <c r="AI1072" s="10"/>
      <c r="AJ1072" s="10"/>
      <c r="AK1072" s="10"/>
      <c r="AL1072" s="10"/>
      <c r="AM1072" s="10"/>
      <c r="AN1072" s="10" t="str">
        <f>"373.76"</f>
        <v>373.76</v>
      </c>
      <c r="AO1072" s="10"/>
    </row>
    <row r="1073" spans="1:41">
      <c r="A1073" s="8">
        <v>1071</v>
      </c>
      <c r="B1073" s="8">
        <v>10402</v>
      </c>
      <c r="C1073" s="8" t="s">
        <v>1265</v>
      </c>
      <c r="D1073" s="8" t="s">
        <v>10</v>
      </c>
      <c r="E1073" s="2" t="str">
        <f>"446.63"</f>
        <v>446.63</v>
      </c>
      <c r="F1073" s="9"/>
      <c r="G1073" s="9">
        <v>2017</v>
      </c>
      <c r="H1073" s="10" t="str">
        <f>"362.68"</f>
        <v>362.68</v>
      </c>
      <c r="I1073" s="10"/>
      <c r="J1073" s="10"/>
      <c r="K1073" s="10"/>
      <c r="L1073" s="10"/>
      <c r="M1073" s="10"/>
      <c r="N1073" s="10"/>
      <c r="O1073" s="10"/>
      <c r="P1073" s="10"/>
      <c r="Q1073" s="10" t="str">
        <f>"496.76"</f>
        <v>496.76</v>
      </c>
      <c r="R1073" s="10"/>
      <c r="S1073" s="10"/>
      <c r="T1073" s="10"/>
      <c r="U1073" s="10"/>
      <c r="V1073" s="10"/>
      <c r="W1073" s="10"/>
      <c r="X1073" s="10"/>
      <c r="Y1073" s="10"/>
      <c r="Z1073" s="10"/>
      <c r="AA1073" s="10"/>
      <c r="AB1073" s="10"/>
      <c r="AC1073" s="10"/>
      <c r="AD1073" s="10"/>
      <c r="AE1073" s="10"/>
      <c r="AF1073" s="10"/>
      <c r="AG1073" s="10"/>
      <c r="AH1073" s="10"/>
      <c r="AI1073" s="10"/>
      <c r="AJ1073" s="10"/>
      <c r="AK1073" s="10"/>
      <c r="AL1073" s="10" t="str">
        <f>"396.49"</f>
        <v>396.49</v>
      </c>
      <c r="AM1073" s="10"/>
      <c r="AN1073" s="10"/>
      <c r="AO1073" s="10"/>
    </row>
    <row r="1074" spans="1:41">
      <c r="A1074" s="8">
        <v>1072</v>
      </c>
      <c r="B1074" s="8">
        <v>4113</v>
      </c>
      <c r="C1074" s="8" t="s">
        <v>1266</v>
      </c>
      <c r="D1074" s="8" t="s">
        <v>90</v>
      </c>
      <c r="E1074" s="2" t="str">
        <f>"447.93"</f>
        <v>447.93</v>
      </c>
      <c r="F1074" s="9" t="s">
        <v>9</v>
      </c>
      <c r="G1074" s="9">
        <v>2017</v>
      </c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  <c r="S1074" s="10"/>
      <c r="T1074" s="10"/>
      <c r="U1074" s="10"/>
      <c r="V1074" s="10"/>
      <c r="W1074" s="10"/>
      <c r="X1074" s="10"/>
      <c r="Y1074" s="10"/>
      <c r="Z1074" s="10"/>
      <c r="AA1074" s="10" t="str">
        <f>"407.93"</f>
        <v>407.93</v>
      </c>
      <c r="AB1074" s="10"/>
      <c r="AC1074" s="10"/>
      <c r="AD1074" s="10"/>
      <c r="AE1074" s="10"/>
      <c r="AF1074" s="10"/>
      <c r="AG1074" s="10"/>
      <c r="AH1074" s="10"/>
      <c r="AI1074" s="10"/>
      <c r="AJ1074" s="10"/>
      <c r="AK1074" s="10"/>
      <c r="AL1074" s="10"/>
      <c r="AM1074" s="10"/>
      <c r="AN1074" s="10"/>
      <c r="AO1074" s="10"/>
    </row>
    <row r="1075" spans="1:41">
      <c r="A1075" s="8">
        <v>1073</v>
      </c>
      <c r="B1075" s="8">
        <v>11381</v>
      </c>
      <c r="C1075" s="8" t="s">
        <v>1267</v>
      </c>
      <c r="D1075" s="8" t="s">
        <v>14</v>
      </c>
      <c r="E1075" s="2" t="str">
        <f>"448.10"</f>
        <v>448.10</v>
      </c>
      <c r="F1075" s="9" t="s">
        <v>9</v>
      </c>
      <c r="G1075" s="9">
        <v>2017</v>
      </c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  <c r="S1075" s="10"/>
      <c r="T1075" s="10"/>
      <c r="U1075" s="10" t="str">
        <f>"408.10"</f>
        <v>408.10</v>
      </c>
      <c r="V1075" s="10"/>
      <c r="W1075" s="10"/>
      <c r="X1075" s="10"/>
      <c r="Y1075" s="10"/>
      <c r="Z1075" s="10"/>
      <c r="AA1075" s="10"/>
      <c r="AB1075" s="10"/>
      <c r="AC1075" s="10"/>
      <c r="AD1075" s="10"/>
      <c r="AE1075" s="10"/>
      <c r="AF1075" s="10"/>
      <c r="AG1075" s="10"/>
      <c r="AH1075" s="10"/>
      <c r="AI1075" s="10"/>
      <c r="AJ1075" s="10"/>
      <c r="AK1075" s="10"/>
      <c r="AL1075" s="10"/>
      <c r="AM1075" s="10"/>
      <c r="AN1075" s="10"/>
      <c r="AO1075" s="10"/>
    </row>
    <row r="1076" spans="1:41">
      <c r="A1076" s="8">
        <v>1074</v>
      </c>
      <c r="B1076" s="8">
        <v>1489</v>
      </c>
      <c r="C1076" s="8" t="s">
        <v>1268</v>
      </c>
      <c r="D1076" s="8" t="s">
        <v>48</v>
      </c>
      <c r="E1076" s="2" t="str">
        <f>"451.58"</f>
        <v>451.58</v>
      </c>
      <c r="F1076" s="9" t="s">
        <v>11</v>
      </c>
      <c r="G1076" s="9">
        <v>2017</v>
      </c>
      <c r="H1076" s="10" t="str">
        <f>"411.58"</f>
        <v>411.58</v>
      </c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  <c r="S1076" s="10"/>
      <c r="T1076" s="10"/>
      <c r="U1076" s="10"/>
      <c r="V1076" s="10"/>
      <c r="W1076" s="10"/>
      <c r="X1076" s="10"/>
      <c r="Y1076" s="10"/>
      <c r="Z1076" s="10"/>
      <c r="AA1076" s="10"/>
      <c r="AB1076" s="10"/>
      <c r="AC1076" s="10"/>
      <c r="AD1076" s="10"/>
      <c r="AE1076" s="10"/>
      <c r="AF1076" s="10"/>
      <c r="AG1076" s="10"/>
      <c r="AH1076" s="10"/>
      <c r="AI1076" s="10"/>
      <c r="AJ1076" s="10"/>
      <c r="AK1076" s="10"/>
      <c r="AL1076" s="10"/>
      <c r="AM1076" s="10"/>
      <c r="AN1076" s="10"/>
      <c r="AO1076" s="10"/>
    </row>
    <row r="1077" spans="1:41">
      <c r="A1077" s="8">
        <v>1075</v>
      </c>
      <c r="B1077" s="8">
        <v>5410</v>
      </c>
      <c r="C1077" s="8" t="s">
        <v>1269</v>
      </c>
      <c r="D1077" s="8" t="s">
        <v>60</v>
      </c>
      <c r="E1077" s="2" t="str">
        <f>"454.63"</f>
        <v>454.63</v>
      </c>
      <c r="F1077" s="9" t="s">
        <v>9</v>
      </c>
      <c r="G1077" s="9">
        <v>2017</v>
      </c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  <c r="S1077" s="10"/>
      <c r="T1077" s="10"/>
      <c r="U1077" s="10"/>
      <c r="V1077" s="10"/>
      <c r="W1077" s="10"/>
      <c r="X1077" s="10"/>
      <c r="Y1077" s="10"/>
      <c r="Z1077" s="10"/>
      <c r="AA1077" s="10"/>
      <c r="AB1077" s="10"/>
      <c r="AC1077" s="10"/>
      <c r="AD1077" s="10"/>
      <c r="AE1077" s="10"/>
      <c r="AF1077" s="10"/>
      <c r="AG1077" s="10"/>
      <c r="AH1077" s="10"/>
      <c r="AI1077" s="10"/>
      <c r="AJ1077" s="10"/>
      <c r="AK1077" s="10" t="str">
        <f>"414.63"</f>
        <v>414.63</v>
      </c>
      <c r="AL1077" s="10"/>
      <c r="AM1077" s="10"/>
      <c r="AN1077" s="10"/>
      <c r="AO1077" s="10"/>
    </row>
    <row r="1078" spans="1:41">
      <c r="A1078" s="8">
        <v>1076</v>
      </c>
      <c r="B1078" s="8">
        <v>10398</v>
      </c>
      <c r="C1078" s="8" t="s">
        <v>1270</v>
      </c>
      <c r="D1078" s="8" t="s">
        <v>19</v>
      </c>
      <c r="E1078" s="2" t="str">
        <f>"456.10"</f>
        <v>456.10</v>
      </c>
      <c r="F1078" s="9"/>
      <c r="G1078" s="9">
        <v>2017</v>
      </c>
      <c r="H1078" s="10" t="str">
        <f>"598.00"</f>
        <v>598.00</v>
      </c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  <c r="S1078" s="10"/>
      <c r="T1078" s="10"/>
      <c r="U1078" s="10"/>
      <c r="V1078" s="10"/>
      <c r="W1078" s="10"/>
      <c r="X1078" s="10"/>
      <c r="Y1078" s="10"/>
      <c r="Z1078" s="10"/>
      <c r="AA1078" s="10"/>
      <c r="AB1078" s="10" t="str">
        <f>"486.10"</f>
        <v>486.10</v>
      </c>
      <c r="AC1078" s="10"/>
      <c r="AD1078" s="10"/>
      <c r="AE1078" s="10"/>
      <c r="AF1078" s="10"/>
      <c r="AG1078" s="10"/>
      <c r="AH1078" s="10"/>
      <c r="AI1078" s="10"/>
      <c r="AJ1078" s="10"/>
      <c r="AK1078" s="10"/>
      <c r="AL1078" s="10"/>
      <c r="AM1078" s="10" t="str">
        <f>"426.09"</f>
        <v>426.09</v>
      </c>
      <c r="AN1078" s="10"/>
      <c r="AO1078" s="10"/>
    </row>
    <row r="1079" spans="1:41">
      <c r="A1079" s="8">
        <v>1077</v>
      </c>
      <c r="B1079" s="8">
        <v>10552</v>
      </c>
      <c r="C1079" s="8" t="s">
        <v>1271</v>
      </c>
      <c r="D1079" s="8" t="s">
        <v>10</v>
      </c>
      <c r="E1079" s="2" t="str">
        <f>"456.40"</f>
        <v>456.40</v>
      </c>
      <c r="F1079" s="9" t="s">
        <v>11</v>
      </c>
      <c r="G1079" s="9">
        <v>2017</v>
      </c>
      <c r="H1079" s="10" t="str">
        <f>"416.40"</f>
        <v>416.40</v>
      </c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  <c r="S1079" s="10"/>
      <c r="T1079" s="10"/>
      <c r="U1079" s="10"/>
      <c r="V1079" s="10"/>
      <c r="W1079" s="10"/>
      <c r="X1079" s="10"/>
      <c r="Y1079" s="10"/>
      <c r="Z1079" s="10"/>
      <c r="AA1079" s="10"/>
      <c r="AB1079" s="10"/>
      <c r="AC1079" s="10"/>
      <c r="AD1079" s="10"/>
      <c r="AE1079" s="10"/>
      <c r="AF1079" s="10"/>
      <c r="AG1079" s="10"/>
      <c r="AH1079" s="10"/>
      <c r="AI1079" s="10"/>
      <c r="AJ1079" s="10"/>
      <c r="AK1079" s="10"/>
      <c r="AL1079" s="10"/>
      <c r="AM1079" s="10"/>
      <c r="AN1079" s="10"/>
      <c r="AO1079" s="10"/>
    </row>
    <row r="1080" spans="1:41">
      <c r="A1080" s="8">
        <v>1078</v>
      </c>
      <c r="B1080" s="8">
        <v>1284</v>
      </c>
      <c r="C1080" s="8" t="s">
        <v>1272</v>
      </c>
      <c r="D1080" s="8" t="s">
        <v>653</v>
      </c>
      <c r="E1080" s="2" t="str">
        <f>"458.13"</f>
        <v>458.13</v>
      </c>
      <c r="F1080" s="9" t="s">
        <v>11</v>
      </c>
      <c r="G1080" s="9">
        <v>2017</v>
      </c>
      <c r="H1080" s="10" t="str">
        <f>"418.13"</f>
        <v>418.13</v>
      </c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  <c r="S1080" s="10"/>
      <c r="T1080" s="10"/>
      <c r="U1080" s="10"/>
      <c r="V1080" s="10"/>
      <c r="W1080" s="10"/>
      <c r="X1080" s="10"/>
      <c r="Y1080" s="10"/>
      <c r="Z1080" s="10"/>
      <c r="AA1080" s="10"/>
      <c r="AB1080" s="10"/>
      <c r="AC1080" s="10"/>
      <c r="AD1080" s="10"/>
      <c r="AE1080" s="10"/>
      <c r="AF1080" s="10"/>
      <c r="AG1080" s="10"/>
      <c r="AH1080" s="10"/>
      <c r="AI1080" s="10"/>
      <c r="AJ1080" s="10"/>
      <c r="AK1080" s="10"/>
      <c r="AL1080" s="10"/>
      <c r="AM1080" s="10"/>
      <c r="AN1080" s="10"/>
      <c r="AO1080" s="10"/>
    </row>
    <row r="1081" spans="1:41">
      <c r="A1081" s="8">
        <v>1079</v>
      </c>
      <c r="B1081" s="8">
        <v>11260</v>
      </c>
      <c r="C1081" s="8" t="s">
        <v>1273</v>
      </c>
      <c r="D1081" s="8" t="s">
        <v>10</v>
      </c>
      <c r="E1081" s="2" t="str">
        <f>"459.54"</f>
        <v>459.54</v>
      </c>
      <c r="F1081" s="9"/>
      <c r="G1081" s="9">
        <v>2017</v>
      </c>
      <c r="H1081" s="10"/>
      <c r="I1081" s="10"/>
      <c r="J1081" s="10"/>
      <c r="K1081" s="10"/>
      <c r="L1081" s="10"/>
      <c r="M1081" s="10"/>
      <c r="N1081" s="10"/>
      <c r="O1081" s="10"/>
      <c r="P1081" s="10"/>
      <c r="Q1081" s="10" t="str">
        <f>"501.39"</f>
        <v>501.39</v>
      </c>
      <c r="R1081" s="10"/>
      <c r="S1081" s="10"/>
      <c r="T1081" s="10"/>
      <c r="U1081" s="10"/>
      <c r="V1081" s="10"/>
      <c r="W1081" s="10"/>
      <c r="X1081" s="10"/>
      <c r="Y1081" s="10"/>
      <c r="Z1081" s="10"/>
      <c r="AA1081" s="10"/>
      <c r="AB1081" s="10"/>
      <c r="AC1081" s="10"/>
      <c r="AD1081" s="10"/>
      <c r="AE1081" s="10" t="str">
        <f>"417.69"</f>
        <v>417.69</v>
      </c>
      <c r="AF1081" s="10"/>
      <c r="AG1081" s="10"/>
      <c r="AH1081" s="10"/>
      <c r="AI1081" s="10"/>
      <c r="AJ1081" s="10"/>
      <c r="AK1081" s="10"/>
      <c r="AL1081" s="10"/>
      <c r="AM1081" s="10"/>
      <c r="AN1081" s="10"/>
      <c r="AO1081" s="10"/>
    </row>
    <row r="1082" spans="1:41">
      <c r="A1082" s="8">
        <v>1080</v>
      </c>
      <c r="B1082" s="8">
        <v>10780</v>
      </c>
      <c r="C1082" s="8" t="s">
        <v>1274</v>
      </c>
      <c r="D1082" s="8" t="s">
        <v>19</v>
      </c>
      <c r="E1082" s="2" t="str">
        <f>"460.24"</f>
        <v>460.24</v>
      </c>
      <c r="F1082" s="9"/>
      <c r="G1082" s="9">
        <v>2017</v>
      </c>
      <c r="H1082" s="10" t="str">
        <f>"852.11"</f>
        <v>852.11</v>
      </c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  <c r="S1082" s="10"/>
      <c r="T1082" s="10"/>
      <c r="U1082" s="10"/>
      <c r="V1082" s="10"/>
      <c r="W1082" s="10"/>
      <c r="X1082" s="10"/>
      <c r="Y1082" s="10"/>
      <c r="Z1082" s="10"/>
      <c r="AA1082" s="10"/>
      <c r="AB1082" s="10" t="str">
        <f>"481.08"</f>
        <v>481.08</v>
      </c>
      <c r="AC1082" s="10"/>
      <c r="AD1082" s="10"/>
      <c r="AE1082" s="10"/>
      <c r="AF1082" s="10"/>
      <c r="AG1082" s="10"/>
      <c r="AH1082" s="10"/>
      <c r="AI1082" s="10"/>
      <c r="AJ1082" s="10"/>
      <c r="AK1082" s="10"/>
      <c r="AL1082" s="10"/>
      <c r="AM1082" s="10" t="str">
        <f>"439.39"</f>
        <v>439.39</v>
      </c>
      <c r="AN1082" s="10"/>
      <c r="AO1082" s="10"/>
    </row>
    <row r="1083" spans="1:41">
      <c r="A1083" s="8">
        <v>1081</v>
      </c>
      <c r="B1083" s="8">
        <v>11077</v>
      </c>
      <c r="C1083" s="8" t="s">
        <v>1275</v>
      </c>
      <c r="D1083" s="8" t="s">
        <v>45</v>
      </c>
      <c r="E1083" s="2" t="str">
        <f>"460.55"</f>
        <v>460.55</v>
      </c>
      <c r="F1083" s="9" t="s">
        <v>11</v>
      </c>
      <c r="G1083" s="9">
        <v>2017</v>
      </c>
      <c r="H1083" s="10" t="str">
        <f>"420.55"</f>
        <v>420.55</v>
      </c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  <c r="S1083" s="10"/>
      <c r="T1083" s="10"/>
      <c r="U1083" s="10"/>
      <c r="V1083" s="10"/>
      <c r="W1083" s="10"/>
      <c r="X1083" s="10"/>
      <c r="Y1083" s="10"/>
      <c r="Z1083" s="10"/>
      <c r="AA1083" s="10"/>
      <c r="AB1083" s="10"/>
      <c r="AC1083" s="10"/>
      <c r="AD1083" s="10"/>
      <c r="AE1083" s="10"/>
      <c r="AF1083" s="10"/>
      <c r="AG1083" s="10"/>
      <c r="AH1083" s="10"/>
      <c r="AI1083" s="10"/>
      <c r="AJ1083" s="10"/>
      <c r="AK1083" s="10"/>
      <c r="AL1083" s="10"/>
      <c r="AM1083" s="10"/>
      <c r="AN1083" s="10"/>
      <c r="AO1083" s="10"/>
    </row>
    <row r="1084" spans="1:41">
      <c r="A1084" s="8">
        <v>1082</v>
      </c>
      <c r="B1084" s="8">
        <v>10779</v>
      </c>
      <c r="C1084" s="8" t="s">
        <v>1276</v>
      </c>
      <c r="D1084" s="8" t="s">
        <v>19</v>
      </c>
      <c r="E1084" s="2" t="str">
        <f>"462.36"</f>
        <v>462.36</v>
      </c>
      <c r="F1084" s="9"/>
      <c r="G1084" s="9">
        <v>2017</v>
      </c>
      <c r="H1084" s="10" t="str">
        <f>"1266.27"</f>
        <v>1266.27</v>
      </c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  <c r="S1084" s="10"/>
      <c r="T1084" s="10"/>
      <c r="U1084" s="10"/>
      <c r="V1084" s="10"/>
      <c r="W1084" s="10"/>
      <c r="X1084" s="10"/>
      <c r="Y1084" s="10"/>
      <c r="Z1084" s="10"/>
      <c r="AA1084" s="10"/>
      <c r="AB1084" s="10" t="str">
        <f>"729.29"</f>
        <v>729.29</v>
      </c>
      <c r="AC1084" s="10"/>
      <c r="AD1084" s="10"/>
      <c r="AE1084" s="10"/>
      <c r="AF1084" s="10"/>
      <c r="AG1084" s="10"/>
      <c r="AH1084" s="10"/>
      <c r="AI1084" s="10"/>
      <c r="AJ1084" s="10"/>
      <c r="AK1084" s="10"/>
      <c r="AL1084" s="10"/>
      <c r="AM1084" s="10" t="str">
        <f>"497.09"</f>
        <v>497.09</v>
      </c>
      <c r="AN1084" s="10" t="str">
        <f>"427.62"</f>
        <v>427.62</v>
      </c>
      <c r="AO1084" s="10"/>
    </row>
    <row r="1085" spans="1:41">
      <c r="A1085" s="8">
        <v>1083</v>
      </c>
      <c r="B1085" s="8">
        <v>11305</v>
      </c>
      <c r="C1085" s="8" t="s">
        <v>1277</v>
      </c>
      <c r="D1085" s="8" t="s">
        <v>10</v>
      </c>
      <c r="E1085" s="2" t="str">
        <f>"463.52"</f>
        <v>463.52</v>
      </c>
      <c r="F1085" s="9" t="s">
        <v>9</v>
      </c>
      <c r="G1085" s="9">
        <v>2017</v>
      </c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  <c r="S1085" s="10"/>
      <c r="T1085" s="10"/>
      <c r="U1085" s="10"/>
      <c r="V1085" s="10"/>
      <c r="W1085" s="10"/>
      <c r="X1085" s="10"/>
      <c r="Y1085" s="10"/>
      <c r="Z1085" s="10"/>
      <c r="AA1085" s="10"/>
      <c r="AB1085" s="10"/>
      <c r="AC1085" s="10"/>
      <c r="AD1085" s="10"/>
      <c r="AE1085" s="10"/>
      <c r="AF1085" s="10"/>
      <c r="AG1085" s="10"/>
      <c r="AH1085" s="10"/>
      <c r="AI1085" s="10"/>
      <c r="AJ1085" s="10"/>
      <c r="AK1085" s="10"/>
      <c r="AL1085" s="10"/>
      <c r="AM1085" s="10"/>
      <c r="AN1085" s="10" t="str">
        <f>"423.52"</f>
        <v>423.52</v>
      </c>
      <c r="AO1085" s="10"/>
    </row>
    <row r="1086" spans="1:41">
      <c r="A1086" s="8">
        <v>1084</v>
      </c>
      <c r="B1086" s="8">
        <v>11212</v>
      </c>
      <c r="C1086" s="8" t="s">
        <v>1278</v>
      </c>
      <c r="D1086" s="8" t="s">
        <v>19</v>
      </c>
      <c r="E1086" s="2" t="str">
        <f>"463.53"</f>
        <v>463.53</v>
      </c>
      <c r="F1086" s="9" t="s">
        <v>9</v>
      </c>
      <c r="G1086" s="9">
        <v>2017</v>
      </c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  <c r="S1086" s="10"/>
      <c r="T1086" s="10"/>
      <c r="U1086" s="10"/>
      <c r="V1086" s="10"/>
      <c r="W1086" s="10"/>
      <c r="X1086" s="10"/>
      <c r="Y1086" s="10"/>
      <c r="Z1086" s="10"/>
      <c r="AA1086" s="10"/>
      <c r="AB1086" s="10" t="str">
        <f>"423.53"</f>
        <v>423.53</v>
      </c>
      <c r="AC1086" s="10"/>
      <c r="AD1086" s="10"/>
      <c r="AE1086" s="10"/>
      <c r="AF1086" s="10"/>
      <c r="AG1086" s="10"/>
      <c r="AH1086" s="10"/>
      <c r="AI1086" s="10"/>
      <c r="AJ1086" s="10"/>
      <c r="AK1086" s="10"/>
      <c r="AL1086" s="10"/>
      <c r="AM1086" s="10"/>
      <c r="AN1086" s="10"/>
      <c r="AO1086" s="10"/>
    </row>
    <row r="1087" spans="1:41">
      <c r="A1087" s="8">
        <v>1085</v>
      </c>
      <c r="B1087" s="8">
        <v>10391</v>
      </c>
      <c r="C1087" s="8" t="s">
        <v>1279</v>
      </c>
      <c r="D1087" s="8" t="s">
        <v>19</v>
      </c>
      <c r="E1087" s="2" t="str">
        <f>"463.81"</f>
        <v>463.81</v>
      </c>
      <c r="F1087" s="9"/>
      <c r="G1087" s="9">
        <v>2017</v>
      </c>
      <c r="H1087" s="10" t="str">
        <f>"527.88"</f>
        <v>527.88</v>
      </c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  <c r="S1087" s="10"/>
      <c r="T1087" s="10"/>
      <c r="U1087" s="10"/>
      <c r="V1087" s="10"/>
      <c r="W1087" s="10"/>
      <c r="X1087" s="10"/>
      <c r="Y1087" s="10"/>
      <c r="Z1087" s="10"/>
      <c r="AA1087" s="10"/>
      <c r="AB1087" s="10" t="str">
        <f>"470.13"</f>
        <v>470.13</v>
      </c>
      <c r="AC1087" s="10"/>
      <c r="AD1087" s="10"/>
      <c r="AE1087" s="10"/>
      <c r="AF1087" s="10"/>
      <c r="AG1087" s="10"/>
      <c r="AH1087" s="10"/>
      <c r="AI1087" s="10"/>
      <c r="AJ1087" s="10"/>
      <c r="AK1087" s="10"/>
      <c r="AL1087" s="10"/>
      <c r="AM1087" s="10" t="str">
        <f>"457.48"</f>
        <v>457.48</v>
      </c>
      <c r="AN1087" s="10"/>
      <c r="AO1087" s="10"/>
    </row>
    <row r="1088" spans="1:41">
      <c r="A1088" s="8">
        <v>1086</v>
      </c>
      <c r="B1088" s="8">
        <v>11328</v>
      </c>
      <c r="C1088" s="8" t="s">
        <v>1280</v>
      </c>
      <c r="D1088" s="8" t="s">
        <v>50</v>
      </c>
      <c r="E1088" s="2" t="str">
        <f>"466.62"</f>
        <v>466.62</v>
      </c>
      <c r="F1088" s="9"/>
      <c r="G1088" s="9">
        <v>2017</v>
      </c>
      <c r="H1088" s="10"/>
      <c r="I1088" s="10"/>
      <c r="J1088" s="10"/>
      <c r="K1088" s="10"/>
      <c r="L1088" s="10"/>
      <c r="M1088" s="10"/>
      <c r="N1088" s="10"/>
      <c r="O1088" s="10"/>
      <c r="P1088" s="10"/>
      <c r="Q1088" s="10"/>
      <c r="R1088" s="10"/>
      <c r="S1088" s="10"/>
      <c r="T1088" s="10"/>
      <c r="U1088" s="10" t="str">
        <f>"490.78"</f>
        <v>490.78</v>
      </c>
      <c r="V1088" s="10"/>
      <c r="W1088" s="10"/>
      <c r="X1088" s="10" t="str">
        <f>"442.46"</f>
        <v>442.46</v>
      </c>
      <c r="Y1088" s="10"/>
      <c r="Z1088" s="10"/>
      <c r="AA1088" s="10"/>
      <c r="AB1088" s="10"/>
      <c r="AC1088" s="10"/>
      <c r="AD1088" s="10"/>
      <c r="AE1088" s="10"/>
      <c r="AF1088" s="10"/>
      <c r="AG1088" s="10"/>
      <c r="AH1088" s="10"/>
      <c r="AI1088" s="10"/>
      <c r="AJ1088" s="10"/>
      <c r="AK1088" s="10"/>
      <c r="AL1088" s="10"/>
      <c r="AM1088" s="10"/>
      <c r="AN1088" s="10"/>
      <c r="AO1088" s="10"/>
    </row>
    <row r="1089" spans="1:41">
      <c r="A1089" s="8">
        <v>1087</v>
      </c>
      <c r="B1089" s="8">
        <v>11404</v>
      </c>
      <c r="C1089" s="8" t="s">
        <v>1281</v>
      </c>
      <c r="D1089" s="8" t="s">
        <v>50</v>
      </c>
      <c r="E1089" s="2" t="str">
        <f>"467.26"</f>
        <v>467.26</v>
      </c>
      <c r="F1089" s="9"/>
      <c r="G1089" s="9">
        <v>2017</v>
      </c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  <c r="S1089" s="10"/>
      <c r="T1089" s="10"/>
      <c r="U1089" s="10" t="str">
        <f>"523.71"</f>
        <v>523.71</v>
      </c>
      <c r="V1089" s="10"/>
      <c r="W1089" s="10" t="str">
        <f>"410.81"</f>
        <v>410.81</v>
      </c>
      <c r="X1089" s="10"/>
      <c r="Y1089" s="10"/>
      <c r="Z1089" s="10"/>
      <c r="AA1089" s="10"/>
      <c r="AB1089" s="10"/>
      <c r="AC1089" s="10"/>
      <c r="AD1089" s="10"/>
      <c r="AE1089" s="10"/>
      <c r="AF1089" s="10"/>
      <c r="AG1089" s="10"/>
      <c r="AH1089" s="10"/>
      <c r="AI1089" s="10"/>
      <c r="AJ1089" s="10"/>
      <c r="AK1089" s="10"/>
      <c r="AL1089" s="10"/>
      <c r="AM1089" s="10"/>
      <c r="AN1089" s="10"/>
      <c r="AO1089" s="10"/>
    </row>
    <row r="1090" spans="1:41">
      <c r="A1090" s="8">
        <v>1088</v>
      </c>
      <c r="B1090" s="8">
        <v>2837</v>
      </c>
      <c r="C1090" s="8" t="s">
        <v>1282</v>
      </c>
      <c r="D1090" s="8" t="s">
        <v>653</v>
      </c>
      <c r="E1090" s="2" t="str">
        <f>"467.40"</f>
        <v>467.40</v>
      </c>
      <c r="F1090" s="9" t="s">
        <v>9</v>
      </c>
      <c r="G1090" s="9">
        <v>2017</v>
      </c>
      <c r="H1090" s="10" t="str">
        <f>"371.15"</f>
        <v>371.15</v>
      </c>
      <c r="I1090" s="10"/>
      <c r="J1090" s="10"/>
      <c r="K1090" s="10"/>
      <c r="L1090" s="10"/>
      <c r="M1090" s="10"/>
      <c r="N1090" s="10"/>
      <c r="O1090" s="10"/>
      <c r="P1090" s="10" t="str">
        <f>"427.40"</f>
        <v>427.40</v>
      </c>
      <c r="Q1090" s="10"/>
      <c r="R1090" s="10"/>
      <c r="S1090" s="10"/>
      <c r="T1090" s="10"/>
      <c r="U1090" s="10"/>
      <c r="V1090" s="10"/>
      <c r="W1090" s="10"/>
      <c r="X1090" s="10"/>
      <c r="Y1090" s="10"/>
      <c r="Z1090" s="10"/>
      <c r="AA1090" s="10"/>
      <c r="AB1090" s="10"/>
      <c r="AC1090" s="10"/>
      <c r="AD1090" s="10"/>
      <c r="AE1090" s="10"/>
      <c r="AF1090" s="10"/>
      <c r="AG1090" s="10"/>
      <c r="AH1090" s="10"/>
      <c r="AI1090" s="10"/>
      <c r="AJ1090" s="10"/>
      <c r="AK1090" s="10"/>
      <c r="AL1090" s="10"/>
      <c r="AM1090" s="10"/>
      <c r="AN1090" s="10"/>
      <c r="AO1090" s="10"/>
    </row>
    <row r="1091" spans="1:41">
      <c r="A1091" s="8">
        <v>1089</v>
      </c>
      <c r="B1091" s="8">
        <v>2647</v>
      </c>
      <c r="C1091" s="8" t="s">
        <v>1283</v>
      </c>
      <c r="D1091" s="8" t="s">
        <v>1244</v>
      </c>
      <c r="E1091" s="2" t="str">
        <f>"468.02"</f>
        <v>468.02</v>
      </c>
      <c r="F1091" s="9" t="s">
        <v>11</v>
      </c>
      <c r="G1091" s="9">
        <v>2017</v>
      </c>
      <c r="H1091" s="10" t="str">
        <f>"428.02"</f>
        <v>428.02</v>
      </c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  <c r="S1091" s="10"/>
      <c r="T1091" s="10"/>
      <c r="U1091" s="10"/>
      <c r="V1091" s="10"/>
      <c r="W1091" s="10"/>
      <c r="X1091" s="10"/>
      <c r="Y1091" s="10"/>
      <c r="Z1091" s="10"/>
      <c r="AA1091" s="10"/>
      <c r="AB1091" s="10"/>
      <c r="AC1091" s="10"/>
      <c r="AD1091" s="10"/>
      <c r="AE1091" s="10"/>
      <c r="AF1091" s="10"/>
      <c r="AG1091" s="10"/>
      <c r="AH1091" s="10"/>
      <c r="AI1091" s="10"/>
      <c r="AJ1091" s="10"/>
      <c r="AK1091" s="10"/>
      <c r="AL1091" s="10"/>
      <c r="AM1091" s="10"/>
      <c r="AN1091" s="10"/>
      <c r="AO1091" s="10"/>
    </row>
    <row r="1092" spans="1:41">
      <c r="A1092" s="8">
        <v>1090</v>
      </c>
      <c r="B1092" s="8">
        <v>10710</v>
      </c>
      <c r="C1092" s="8" t="s">
        <v>1284</v>
      </c>
      <c r="D1092" s="8" t="s">
        <v>10</v>
      </c>
      <c r="E1092" s="2" t="str">
        <f>"468.04"</f>
        <v>468.04</v>
      </c>
      <c r="F1092" s="9" t="s">
        <v>9</v>
      </c>
      <c r="G1092" s="9">
        <v>2017</v>
      </c>
      <c r="H1092" s="10" t="str">
        <f>"688.26"</f>
        <v>688.26</v>
      </c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  <c r="S1092" s="10"/>
      <c r="T1092" s="10"/>
      <c r="U1092" s="10"/>
      <c r="V1092" s="10"/>
      <c r="W1092" s="10"/>
      <c r="X1092" s="10"/>
      <c r="Y1092" s="10"/>
      <c r="Z1092" s="10"/>
      <c r="AA1092" s="10"/>
      <c r="AB1092" s="10"/>
      <c r="AC1092" s="10"/>
      <c r="AD1092" s="10"/>
      <c r="AE1092" s="10" t="str">
        <f>"428.04"</f>
        <v>428.04</v>
      </c>
      <c r="AF1092" s="10"/>
      <c r="AG1092" s="10"/>
      <c r="AH1092" s="10"/>
      <c r="AI1092" s="10"/>
      <c r="AJ1092" s="10"/>
      <c r="AK1092" s="10"/>
      <c r="AL1092" s="10"/>
      <c r="AM1092" s="10"/>
      <c r="AN1092" s="10"/>
      <c r="AO1092" s="10"/>
    </row>
    <row r="1093" spans="1:41">
      <c r="A1093" s="8">
        <v>1091</v>
      </c>
      <c r="B1093" s="8">
        <v>11236</v>
      </c>
      <c r="C1093" s="8" t="s">
        <v>1285</v>
      </c>
      <c r="D1093" s="8" t="s">
        <v>10</v>
      </c>
      <c r="E1093" s="2" t="str">
        <f>"468.86"</f>
        <v>468.86</v>
      </c>
      <c r="F1093" s="9"/>
      <c r="G1093" s="9">
        <v>2017</v>
      </c>
      <c r="H1093" s="10"/>
      <c r="I1093" s="10"/>
      <c r="J1093" s="10"/>
      <c r="K1093" s="10"/>
      <c r="L1093" s="10"/>
      <c r="M1093" s="10"/>
      <c r="N1093" s="10"/>
      <c r="O1093" s="10"/>
      <c r="P1093" s="10"/>
      <c r="Q1093" s="10" t="str">
        <f>"691.75"</f>
        <v>691.75</v>
      </c>
      <c r="R1093" s="10"/>
      <c r="S1093" s="10"/>
      <c r="T1093" s="10"/>
      <c r="U1093" s="10"/>
      <c r="V1093" s="10"/>
      <c r="W1093" s="10"/>
      <c r="X1093" s="10"/>
      <c r="Y1093" s="10"/>
      <c r="Z1093" s="10"/>
      <c r="AA1093" s="10"/>
      <c r="AB1093" s="10"/>
      <c r="AC1093" s="10"/>
      <c r="AD1093" s="10"/>
      <c r="AE1093" s="10" t="str">
        <f>"461.52"</f>
        <v>461.52</v>
      </c>
      <c r="AF1093" s="10"/>
      <c r="AG1093" s="10"/>
      <c r="AH1093" s="10"/>
      <c r="AI1093" s="10"/>
      <c r="AJ1093" s="10"/>
      <c r="AK1093" s="10"/>
      <c r="AL1093" s="10" t="str">
        <f>"720.66"</f>
        <v>720.66</v>
      </c>
      <c r="AM1093" s="10"/>
      <c r="AN1093" s="10" t="str">
        <f>"476.19"</f>
        <v>476.19</v>
      </c>
      <c r="AO1093" s="10"/>
    </row>
    <row r="1094" spans="1:41">
      <c r="A1094" s="8">
        <v>1092</v>
      </c>
      <c r="B1094" s="8">
        <v>10934</v>
      </c>
      <c r="C1094" s="8" t="s">
        <v>1286</v>
      </c>
      <c r="D1094" s="8" t="s">
        <v>10</v>
      </c>
      <c r="E1094" s="2" t="str">
        <f>"468.97"</f>
        <v>468.97</v>
      </c>
      <c r="F1094" s="9" t="s">
        <v>9</v>
      </c>
      <c r="G1094" s="9">
        <v>2017</v>
      </c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  <c r="S1094" s="10"/>
      <c r="T1094" s="10"/>
      <c r="U1094" s="10"/>
      <c r="V1094" s="10"/>
      <c r="W1094" s="10"/>
      <c r="X1094" s="10"/>
      <c r="Y1094" s="10"/>
      <c r="Z1094" s="10"/>
      <c r="AA1094" s="10"/>
      <c r="AB1094" s="10"/>
      <c r="AC1094" s="10"/>
      <c r="AD1094" s="10"/>
      <c r="AE1094" s="10"/>
      <c r="AF1094" s="10"/>
      <c r="AG1094" s="10"/>
      <c r="AH1094" s="10"/>
      <c r="AI1094" s="10"/>
      <c r="AJ1094" s="10" t="str">
        <f>"428.97"</f>
        <v>428.97</v>
      </c>
      <c r="AK1094" s="10"/>
      <c r="AL1094" s="10"/>
      <c r="AM1094" s="10"/>
      <c r="AN1094" s="10"/>
      <c r="AO1094" s="10"/>
    </row>
    <row r="1095" spans="1:41">
      <c r="A1095" s="8">
        <v>1093</v>
      </c>
      <c r="B1095" s="8">
        <v>10191</v>
      </c>
      <c r="C1095" s="8" t="s">
        <v>1287</v>
      </c>
      <c r="D1095" s="8" t="s">
        <v>10</v>
      </c>
      <c r="E1095" s="2" t="str">
        <f>"469.13"</f>
        <v>469.13</v>
      </c>
      <c r="F1095" s="9" t="s">
        <v>9</v>
      </c>
      <c r="G1095" s="9">
        <v>2017</v>
      </c>
      <c r="H1095" s="10" t="str">
        <f>"363.05"</f>
        <v>363.05</v>
      </c>
      <c r="I1095" s="10"/>
      <c r="J1095" s="10"/>
      <c r="K1095" s="10"/>
      <c r="L1095" s="10"/>
      <c r="M1095" s="10"/>
      <c r="N1095" s="10"/>
      <c r="O1095" s="10"/>
      <c r="P1095" s="10"/>
      <c r="Q1095" s="10" t="str">
        <f>"429.13"</f>
        <v>429.13</v>
      </c>
      <c r="R1095" s="10"/>
      <c r="S1095" s="10"/>
      <c r="T1095" s="10"/>
      <c r="U1095" s="10"/>
      <c r="V1095" s="10"/>
      <c r="W1095" s="10"/>
      <c r="X1095" s="10"/>
      <c r="Y1095" s="10"/>
      <c r="Z1095" s="10"/>
      <c r="AA1095" s="10"/>
      <c r="AB1095" s="10"/>
      <c r="AC1095" s="10"/>
      <c r="AD1095" s="10"/>
      <c r="AE1095" s="10"/>
      <c r="AF1095" s="10"/>
      <c r="AG1095" s="10"/>
      <c r="AH1095" s="10"/>
      <c r="AI1095" s="10"/>
      <c r="AJ1095" s="10"/>
      <c r="AK1095" s="10"/>
      <c r="AL1095" s="10"/>
      <c r="AM1095" s="10"/>
      <c r="AN1095" s="10"/>
      <c r="AO1095" s="10"/>
    </row>
    <row r="1096" spans="1:41">
      <c r="A1096" s="8">
        <v>1094</v>
      </c>
      <c r="B1096" s="8">
        <v>11386</v>
      </c>
      <c r="C1096" s="8" t="s">
        <v>1288</v>
      </c>
      <c r="D1096" s="8" t="s">
        <v>12</v>
      </c>
      <c r="E1096" s="2" t="str">
        <f>"469.75"</f>
        <v>469.75</v>
      </c>
      <c r="F1096" s="9"/>
      <c r="G1096" s="9">
        <v>2017</v>
      </c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  <c r="S1096" s="10"/>
      <c r="T1096" s="10"/>
      <c r="U1096" s="10" t="str">
        <f>"581.96"</f>
        <v>581.96</v>
      </c>
      <c r="V1096" s="10"/>
      <c r="W1096" s="10" t="str">
        <f>"357.54"</f>
        <v>357.54</v>
      </c>
      <c r="X1096" s="10"/>
      <c r="Y1096" s="10"/>
      <c r="Z1096" s="10"/>
      <c r="AA1096" s="10"/>
      <c r="AB1096" s="10"/>
      <c r="AC1096" s="10"/>
      <c r="AD1096" s="10"/>
      <c r="AE1096" s="10"/>
      <c r="AF1096" s="10"/>
      <c r="AG1096" s="10"/>
      <c r="AH1096" s="10"/>
      <c r="AI1096" s="10"/>
      <c r="AJ1096" s="10"/>
      <c r="AK1096" s="10"/>
      <c r="AL1096" s="10"/>
      <c r="AM1096" s="10"/>
      <c r="AN1096" s="10"/>
      <c r="AO1096" s="10"/>
    </row>
    <row r="1097" spans="1:41">
      <c r="A1097" s="8">
        <v>1095</v>
      </c>
      <c r="B1097" s="8">
        <v>7586</v>
      </c>
      <c r="C1097" s="8" t="s">
        <v>1289</v>
      </c>
      <c r="D1097" s="8" t="s">
        <v>422</v>
      </c>
      <c r="E1097" s="2" t="str">
        <f>"470.58"</f>
        <v>470.58</v>
      </c>
      <c r="F1097" s="9"/>
      <c r="G1097" s="9">
        <v>2017</v>
      </c>
      <c r="H1097" s="10"/>
      <c r="I1097" s="10"/>
      <c r="J1097" s="10"/>
      <c r="K1097" s="10"/>
      <c r="L1097" s="10"/>
      <c r="M1097" s="10"/>
      <c r="N1097" s="10" t="str">
        <f>"491.98"</f>
        <v>491.98</v>
      </c>
      <c r="O1097" s="10"/>
      <c r="P1097" s="10" t="str">
        <f>"449.18"</f>
        <v>449.18</v>
      </c>
      <c r="Q1097" s="10"/>
      <c r="R1097" s="10"/>
      <c r="S1097" s="10"/>
      <c r="T1097" s="10"/>
      <c r="U1097" s="10"/>
      <c r="V1097" s="10"/>
      <c r="W1097" s="10"/>
      <c r="X1097" s="10"/>
      <c r="Y1097" s="10"/>
      <c r="Z1097" s="10"/>
      <c r="AA1097" s="10"/>
      <c r="AB1097" s="10"/>
      <c r="AC1097" s="10"/>
      <c r="AD1097" s="10"/>
      <c r="AE1097" s="10"/>
      <c r="AF1097" s="10"/>
      <c r="AG1097" s="10"/>
      <c r="AH1097" s="10"/>
      <c r="AI1097" s="10"/>
      <c r="AJ1097" s="10"/>
      <c r="AK1097" s="10"/>
      <c r="AL1097" s="10"/>
      <c r="AM1097" s="10"/>
      <c r="AN1097" s="10"/>
      <c r="AO1097" s="10"/>
    </row>
    <row r="1098" spans="1:41">
      <c r="A1098" s="8">
        <v>1096</v>
      </c>
      <c r="B1098" s="8">
        <v>11159</v>
      </c>
      <c r="C1098" s="8" t="s">
        <v>1290</v>
      </c>
      <c r="D1098" s="8" t="s">
        <v>19</v>
      </c>
      <c r="E1098" s="2" t="str">
        <f>"470.77"</f>
        <v>470.77</v>
      </c>
      <c r="F1098" s="9" t="s">
        <v>9</v>
      </c>
      <c r="G1098" s="9">
        <v>2017</v>
      </c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  <c r="R1098" s="10"/>
      <c r="S1098" s="10"/>
      <c r="T1098" s="10"/>
      <c r="U1098" s="10"/>
      <c r="V1098" s="10"/>
      <c r="W1098" s="10"/>
      <c r="X1098" s="10"/>
      <c r="Y1098" s="10"/>
      <c r="Z1098" s="10"/>
      <c r="AA1098" s="10"/>
      <c r="AB1098" s="10" t="str">
        <f>"430.77"</f>
        <v>430.77</v>
      </c>
      <c r="AC1098" s="10"/>
      <c r="AD1098" s="10"/>
      <c r="AE1098" s="10"/>
      <c r="AF1098" s="10"/>
      <c r="AG1098" s="10"/>
      <c r="AH1098" s="10"/>
      <c r="AI1098" s="10"/>
      <c r="AJ1098" s="10"/>
      <c r="AK1098" s="10"/>
      <c r="AL1098" s="10"/>
      <c r="AM1098" s="10"/>
      <c r="AN1098" s="10"/>
      <c r="AO1098" s="10"/>
    </row>
    <row r="1099" spans="1:41">
      <c r="A1099" s="8">
        <v>1097</v>
      </c>
      <c r="B1099" s="8">
        <v>10328</v>
      </c>
      <c r="C1099" s="8" t="s">
        <v>1291</v>
      </c>
      <c r="D1099" s="8" t="s">
        <v>34</v>
      </c>
      <c r="E1099" s="2" t="str">
        <f>"471.05"</f>
        <v>471.05</v>
      </c>
      <c r="F1099" s="9" t="s">
        <v>9</v>
      </c>
      <c r="G1099" s="9">
        <v>2017</v>
      </c>
      <c r="H1099" s="10" t="str">
        <f>"268.19"</f>
        <v>268.19</v>
      </c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  <c r="S1099" s="10"/>
      <c r="T1099" s="10"/>
      <c r="U1099" s="10"/>
      <c r="V1099" s="10"/>
      <c r="W1099" s="10"/>
      <c r="X1099" s="10"/>
      <c r="Y1099" s="10"/>
      <c r="Z1099" s="10"/>
      <c r="AA1099" s="10"/>
      <c r="AB1099" s="10"/>
      <c r="AC1099" s="10"/>
      <c r="AD1099" s="10"/>
      <c r="AE1099" s="10"/>
      <c r="AF1099" s="10"/>
      <c r="AG1099" s="10"/>
      <c r="AH1099" s="10" t="str">
        <f>"431.05"</f>
        <v>431.05</v>
      </c>
      <c r="AI1099" s="10"/>
      <c r="AJ1099" s="10"/>
      <c r="AK1099" s="10"/>
      <c r="AL1099" s="10"/>
      <c r="AM1099" s="10"/>
      <c r="AN1099" s="10"/>
      <c r="AO1099" s="10"/>
    </row>
    <row r="1100" spans="1:41">
      <c r="A1100" s="8">
        <v>1098</v>
      </c>
      <c r="B1100" s="8">
        <v>11140</v>
      </c>
      <c r="C1100" s="8" t="s">
        <v>1292</v>
      </c>
      <c r="D1100" s="8" t="s">
        <v>19</v>
      </c>
      <c r="E1100" s="2" t="str">
        <f>"472.03"</f>
        <v>472.03</v>
      </c>
      <c r="F1100" s="9"/>
      <c r="G1100" s="9">
        <v>2017</v>
      </c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  <c r="S1100" s="10"/>
      <c r="T1100" s="10"/>
      <c r="U1100" s="10"/>
      <c r="V1100" s="10"/>
      <c r="W1100" s="10"/>
      <c r="X1100" s="10"/>
      <c r="Y1100" s="10"/>
      <c r="Z1100" s="10"/>
      <c r="AA1100" s="10"/>
      <c r="AB1100" s="10" t="str">
        <f>"526.94"</f>
        <v>526.94</v>
      </c>
      <c r="AC1100" s="10"/>
      <c r="AD1100" s="10"/>
      <c r="AE1100" s="10"/>
      <c r="AF1100" s="10"/>
      <c r="AG1100" s="10"/>
      <c r="AH1100" s="10"/>
      <c r="AI1100" s="10"/>
      <c r="AJ1100" s="10"/>
      <c r="AK1100" s="10"/>
      <c r="AL1100" s="10"/>
      <c r="AM1100" s="10" t="str">
        <f>"417.12"</f>
        <v>417.12</v>
      </c>
      <c r="AN1100" s="10"/>
      <c r="AO1100" s="10"/>
    </row>
    <row r="1101" spans="1:41">
      <c r="A1101" s="8">
        <v>1099</v>
      </c>
      <c r="B1101" s="8">
        <v>5773</v>
      </c>
      <c r="C1101" s="8" t="s">
        <v>1293</v>
      </c>
      <c r="D1101" s="8" t="s">
        <v>40</v>
      </c>
      <c r="E1101" s="2" t="str">
        <f>"474.32"</f>
        <v>474.32</v>
      </c>
      <c r="F1101" s="9"/>
      <c r="G1101" s="9">
        <v>2017</v>
      </c>
      <c r="H1101" s="10" t="str">
        <f>"500.04"</f>
        <v>500.04</v>
      </c>
      <c r="I1101" s="10"/>
      <c r="J1101" s="10"/>
      <c r="K1101" s="10"/>
      <c r="L1101" s="10"/>
      <c r="M1101" s="10"/>
      <c r="N1101" s="10" t="str">
        <f>"463.71"</f>
        <v>463.71</v>
      </c>
      <c r="O1101" s="10"/>
      <c r="P1101" s="10" t="str">
        <f>"484.93"</f>
        <v>484.93</v>
      </c>
      <c r="Q1101" s="10"/>
      <c r="R1101" s="10"/>
      <c r="S1101" s="10"/>
      <c r="T1101" s="10"/>
      <c r="U1101" s="10"/>
      <c r="V1101" s="10"/>
      <c r="W1101" s="10"/>
      <c r="X1101" s="10"/>
      <c r="Y1101" s="10"/>
      <c r="Z1101" s="10"/>
      <c r="AA1101" s="10"/>
      <c r="AB1101" s="10"/>
      <c r="AC1101" s="10"/>
      <c r="AD1101" s="10"/>
      <c r="AE1101" s="10"/>
      <c r="AF1101" s="10"/>
      <c r="AG1101" s="10"/>
      <c r="AH1101" s="10"/>
      <c r="AI1101" s="10"/>
      <c r="AJ1101" s="10"/>
      <c r="AK1101" s="10"/>
      <c r="AL1101" s="10"/>
      <c r="AM1101" s="10"/>
      <c r="AN1101" s="10"/>
      <c r="AO1101" s="10"/>
    </row>
    <row r="1102" spans="1:41">
      <c r="A1102" s="8">
        <v>1100</v>
      </c>
      <c r="B1102" s="8">
        <v>7852</v>
      </c>
      <c r="C1102" s="8" t="s">
        <v>1294</v>
      </c>
      <c r="D1102" s="8" t="s">
        <v>12</v>
      </c>
      <c r="E1102" s="2" t="str">
        <f>"474.76"</f>
        <v>474.76</v>
      </c>
      <c r="F1102" s="9" t="s">
        <v>11</v>
      </c>
      <c r="G1102" s="9">
        <v>2017</v>
      </c>
      <c r="H1102" s="10" t="str">
        <f>"434.76"</f>
        <v>434.76</v>
      </c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  <c r="S1102" s="10"/>
      <c r="T1102" s="10"/>
      <c r="U1102" s="10"/>
      <c r="V1102" s="10"/>
      <c r="W1102" s="10"/>
      <c r="X1102" s="10"/>
      <c r="Y1102" s="10"/>
      <c r="Z1102" s="10"/>
      <c r="AA1102" s="10"/>
      <c r="AB1102" s="10"/>
      <c r="AC1102" s="10"/>
      <c r="AD1102" s="10"/>
      <c r="AE1102" s="10"/>
      <c r="AF1102" s="10"/>
      <c r="AG1102" s="10"/>
      <c r="AH1102" s="10"/>
      <c r="AI1102" s="10"/>
      <c r="AJ1102" s="10"/>
      <c r="AK1102" s="10"/>
      <c r="AL1102" s="10"/>
      <c r="AM1102" s="10"/>
      <c r="AN1102" s="10"/>
      <c r="AO1102" s="10"/>
    </row>
    <row r="1103" spans="1:41">
      <c r="A1103" s="8">
        <v>1101</v>
      </c>
      <c r="B1103" s="8">
        <v>11055</v>
      </c>
      <c r="C1103" s="8" t="s">
        <v>1295</v>
      </c>
      <c r="D1103" s="8" t="s">
        <v>50</v>
      </c>
      <c r="E1103" s="2" t="str">
        <f>"475.54"</f>
        <v>475.54</v>
      </c>
      <c r="F1103" s="9" t="s">
        <v>9</v>
      </c>
      <c r="G1103" s="9">
        <v>2017</v>
      </c>
      <c r="H1103" s="10" t="str">
        <f>"548.45"</f>
        <v>548.45</v>
      </c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  <c r="S1103" s="10"/>
      <c r="T1103" s="10"/>
      <c r="U1103" s="10" t="str">
        <f>"435.54"</f>
        <v>435.54</v>
      </c>
      <c r="V1103" s="10"/>
      <c r="W1103" s="10"/>
      <c r="X1103" s="10"/>
      <c r="Y1103" s="10"/>
      <c r="Z1103" s="10"/>
      <c r="AA1103" s="10"/>
      <c r="AB1103" s="10"/>
      <c r="AC1103" s="10"/>
      <c r="AD1103" s="10"/>
      <c r="AE1103" s="10"/>
      <c r="AF1103" s="10"/>
      <c r="AG1103" s="10"/>
      <c r="AH1103" s="10"/>
      <c r="AI1103" s="10"/>
      <c r="AJ1103" s="10"/>
      <c r="AK1103" s="10"/>
      <c r="AL1103" s="10"/>
      <c r="AM1103" s="10"/>
      <c r="AN1103" s="10"/>
      <c r="AO1103" s="10"/>
    </row>
    <row r="1104" spans="1:41">
      <c r="A1104" s="8">
        <v>1102</v>
      </c>
      <c r="B1104" s="8">
        <v>10807</v>
      </c>
      <c r="C1104" s="8" t="s">
        <v>1296</v>
      </c>
      <c r="D1104" s="8" t="s">
        <v>19</v>
      </c>
      <c r="E1104" s="2" t="str">
        <f>"475.97"</f>
        <v>475.97</v>
      </c>
      <c r="F1104" s="9" t="s">
        <v>9</v>
      </c>
      <c r="G1104" s="9">
        <v>2017</v>
      </c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  <c r="S1104" s="10"/>
      <c r="T1104" s="10"/>
      <c r="U1104" s="10"/>
      <c r="V1104" s="10"/>
      <c r="W1104" s="10"/>
      <c r="X1104" s="10"/>
      <c r="Y1104" s="10"/>
      <c r="Z1104" s="10"/>
      <c r="AA1104" s="10"/>
      <c r="AB1104" s="10" t="str">
        <f>"435.97"</f>
        <v>435.97</v>
      </c>
      <c r="AC1104" s="10"/>
      <c r="AD1104" s="10"/>
      <c r="AE1104" s="10"/>
      <c r="AF1104" s="10"/>
      <c r="AG1104" s="10"/>
      <c r="AH1104" s="10"/>
      <c r="AI1104" s="10"/>
      <c r="AJ1104" s="10"/>
      <c r="AK1104" s="10"/>
      <c r="AL1104" s="10"/>
      <c r="AM1104" s="10"/>
      <c r="AN1104" s="10"/>
      <c r="AO1104" s="10"/>
    </row>
    <row r="1105" spans="1:41">
      <c r="A1105" s="8">
        <v>1103</v>
      </c>
      <c r="B1105" s="8">
        <v>10490</v>
      </c>
      <c r="C1105" s="8" t="s">
        <v>1297</v>
      </c>
      <c r="D1105" s="8" t="s">
        <v>19</v>
      </c>
      <c r="E1105" s="2" t="str">
        <f>"475.97"</f>
        <v>475.97</v>
      </c>
      <c r="F1105" s="9" t="s">
        <v>9</v>
      </c>
      <c r="G1105" s="9">
        <v>2017</v>
      </c>
      <c r="H1105" s="10" t="str">
        <f>"530.36"</f>
        <v>530.36</v>
      </c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  <c r="S1105" s="10"/>
      <c r="T1105" s="10"/>
      <c r="U1105" s="10"/>
      <c r="V1105" s="10"/>
      <c r="W1105" s="10"/>
      <c r="X1105" s="10"/>
      <c r="Y1105" s="10"/>
      <c r="Z1105" s="10"/>
      <c r="AA1105" s="10"/>
      <c r="AB1105" s="10" t="str">
        <f>"435.97"</f>
        <v>435.97</v>
      </c>
      <c r="AC1105" s="10"/>
      <c r="AD1105" s="10"/>
      <c r="AE1105" s="10"/>
      <c r="AF1105" s="10"/>
      <c r="AG1105" s="10"/>
      <c r="AH1105" s="10"/>
      <c r="AI1105" s="10"/>
      <c r="AJ1105" s="10"/>
      <c r="AK1105" s="10"/>
      <c r="AL1105" s="10"/>
      <c r="AM1105" s="10"/>
      <c r="AN1105" s="10"/>
      <c r="AO1105" s="10"/>
    </row>
    <row r="1106" spans="1:41">
      <c r="A1106" s="8">
        <v>1104</v>
      </c>
      <c r="B1106" s="8">
        <v>3243</v>
      </c>
      <c r="C1106" s="8" t="s">
        <v>1298</v>
      </c>
      <c r="D1106" s="8" t="s">
        <v>90</v>
      </c>
      <c r="E1106" s="2" t="str">
        <f>"476.36"</f>
        <v>476.36</v>
      </c>
      <c r="F1106" s="9" t="s">
        <v>11</v>
      </c>
      <c r="G1106" s="9">
        <v>2017</v>
      </c>
      <c r="H1106" s="10" t="str">
        <f>"436.36"</f>
        <v>436.36</v>
      </c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  <c r="S1106" s="10"/>
      <c r="T1106" s="10"/>
      <c r="U1106" s="10"/>
      <c r="V1106" s="10"/>
      <c r="W1106" s="10"/>
      <c r="X1106" s="10"/>
      <c r="Y1106" s="10"/>
      <c r="Z1106" s="10"/>
      <c r="AA1106" s="10"/>
      <c r="AB1106" s="10"/>
      <c r="AC1106" s="10"/>
      <c r="AD1106" s="10"/>
      <c r="AE1106" s="10"/>
      <c r="AF1106" s="10"/>
      <c r="AG1106" s="10"/>
      <c r="AH1106" s="10"/>
      <c r="AI1106" s="10"/>
      <c r="AJ1106" s="10"/>
      <c r="AK1106" s="10"/>
      <c r="AL1106" s="10"/>
      <c r="AM1106" s="10"/>
      <c r="AN1106" s="10"/>
      <c r="AO1106" s="10"/>
    </row>
    <row r="1107" spans="1:41">
      <c r="A1107" s="8">
        <v>1105</v>
      </c>
      <c r="B1107" s="8">
        <v>10399</v>
      </c>
      <c r="C1107" s="8" t="s">
        <v>1299</v>
      </c>
      <c r="D1107" s="8" t="s">
        <v>82</v>
      </c>
      <c r="E1107" s="2" t="str">
        <f>"478.20"</f>
        <v>478.20</v>
      </c>
      <c r="F1107" s="9" t="s">
        <v>11</v>
      </c>
      <c r="G1107" s="9">
        <v>2017</v>
      </c>
      <c r="H1107" s="10" t="str">
        <f>"438.20"</f>
        <v>438.20</v>
      </c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  <c r="S1107" s="10"/>
      <c r="T1107" s="10"/>
      <c r="U1107" s="10"/>
      <c r="V1107" s="10"/>
      <c r="W1107" s="10"/>
      <c r="X1107" s="10"/>
      <c r="Y1107" s="10"/>
      <c r="Z1107" s="10"/>
      <c r="AA1107" s="10"/>
      <c r="AB1107" s="10"/>
      <c r="AC1107" s="10"/>
      <c r="AD1107" s="10"/>
      <c r="AE1107" s="10"/>
      <c r="AF1107" s="10"/>
      <c r="AG1107" s="10"/>
      <c r="AH1107" s="10"/>
      <c r="AI1107" s="10"/>
      <c r="AJ1107" s="10"/>
      <c r="AK1107" s="10"/>
      <c r="AL1107" s="10"/>
      <c r="AM1107" s="10"/>
      <c r="AN1107" s="10"/>
      <c r="AO1107" s="10"/>
    </row>
    <row r="1108" spans="1:41">
      <c r="A1108" s="8">
        <v>1106</v>
      </c>
      <c r="B1108" s="8">
        <v>11426</v>
      </c>
      <c r="C1108" s="8" t="s">
        <v>1300</v>
      </c>
      <c r="D1108" s="8" t="s">
        <v>10</v>
      </c>
      <c r="E1108" s="2" t="str">
        <f>"479.40"</f>
        <v>479.40</v>
      </c>
      <c r="F1108" s="9" t="s">
        <v>9</v>
      </c>
      <c r="G1108" s="9">
        <v>2017</v>
      </c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  <c r="S1108" s="10"/>
      <c r="T1108" s="10"/>
      <c r="U1108" s="10"/>
      <c r="V1108" s="10"/>
      <c r="W1108" s="10"/>
      <c r="X1108" s="10"/>
      <c r="Y1108" s="10"/>
      <c r="Z1108" s="10"/>
      <c r="AA1108" s="10"/>
      <c r="AB1108" s="10"/>
      <c r="AC1108" s="10"/>
      <c r="AD1108" s="10"/>
      <c r="AE1108" s="10"/>
      <c r="AF1108" s="10"/>
      <c r="AG1108" s="10"/>
      <c r="AH1108" s="10"/>
      <c r="AI1108" s="10"/>
      <c r="AJ1108" s="10"/>
      <c r="AK1108" s="10"/>
      <c r="AL1108" s="10"/>
      <c r="AM1108" s="10"/>
      <c r="AN1108" s="10" t="str">
        <f>"439.40"</f>
        <v>439.40</v>
      </c>
      <c r="AO1108" s="10"/>
    </row>
    <row r="1109" spans="1:41">
      <c r="A1109" s="8">
        <v>1107</v>
      </c>
      <c r="B1109" s="8">
        <v>10112</v>
      </c>
      <c r="C1109" s="8" t="s">
        <v>1301</v>
      </c>
      <c r="D1109" s="8" t="s">
        <v>10</v>
      </c>
      <c r="E1109" s="2" t="str">
        <f>"479.90"</f>
        <v>479.90</v>
      </c>
      <c r="F1109" s="9" t="s">
        <v>9</v>
      </c>
      <c r="G1109" s="9">
        <v>2017</v>
      </c>
      <c r="H1109" s="10" t="str">
        <f>"382.03"</f>
        <v>382.03</v>
      </c>
      <c r="I1109" s="10"/>
      <c r="J1109" s="10"/>
      <c r="K1109" s="10"/>
      <c r="L1109" s="10"/>
      <c r="M1109" s="10"/>
      <c r="N1109" s="10"/>
      <c r="O1109" s="10"/>
      <c r="P1109" s="10"/>
      <c r="Q1109" s="10" t="str">
        <f>"439.90"</f>
        <v>439.90</v>
      </c>
      <c r="R1109" s="10"/>
      <c r="S1109" s="10"/>
      <c r="T1109" s="10"/>
      <c r="U1109" s="10"/>
      <c r="V1109" s="10"/>
      <c r="W1109" s="10"/>
      <c r="X1109" s="10"/>
      <c r="Y1109" s="10"/>
      <c r="Z1109" s="10"/>
      <c r="AA1109" s="10"/>
      <c r="AB1109" s="10"/>
      <c r="AC1109" s="10"/>
      <c r="AD1109" s="10"/>
      <c r="AE1109" s="10"/>
      <c r="AF1109" s="10"/>
      <c r="AG1109" s="10"/>
      <c r="AH1109" s="10"/>
      <c r="AI1109" s="10"/>
      <c r="AJ1109" s="10"/>
      <c r="AK1109" s="10"/>
      <c r="AL1109" s="10"/>
      <c r="AM1109" s="10"/>
      <c r="AN1109" s="10"/>
      <c r="AO1109" s="10"/>
    </row>
    <row r="1110" spans="1:41">
      <c r="A1110" s="8">
        <v>1108</v>
      </c>
      <c r="B1110" s="8">
        <v>10914</v>
      </c>
      <c r="C1110" s="8" t="s">
        <v>1302</v>
      </c>
      <c r="D1110" s="8" t="s">
        <v>10</v>
      </c>
      <c r="E1110" s="2" t="str">
        <f>"480.12"</f>
        <v>480.12</v>
      </c>
      <c r="F1110" s="9"/>
      <c r="G1110" s="9">
        <v>2017</v>
      </c>
      <c r="H1110" s="10" t="str">
        <f>"590.99"</f>
        <v>590.99</v>
      </c>
      <c r="I1110" s="10"/>
      <c r="J1110" s="10"/>
      <c r="K1110" s="10"/>
      <c r="L1110" s="10"/>
      <c r="M1110" s="10"/>
      <c r="N1110" s="10"/>
      <c r="O1110" s="10"/>
      <c r="P1110" s="10"/>
      <c r="Q1110" s="10" t="str">
        <f>"536.58"</f>
        <v>536.58</v>
      </c>
      <c r="R1110" s="10"/>
      <c r="S1110" s="10"/>
      <c r="T1110" s="10"/>
      <c r="U1110" s="10"/>
      <c r="V1110" s="10"/>
      <c r="W1110" s="10"/>
      <c r="X1110" s="10"/>
      <c r="Y1110" s="10"/>
      <c r="Z1110" s="10"/>
      <c r="AA1110" s="10"/>
      <c r="AB1110" s="10"/>
      <c r="AC1110" s="10"/>
      <c r="AD1110" s="10"/>
      <c r="AE1110" s="10"/>
      <c r="AF1110" s="10"/>
      <c r="AG1110" s="10"/>
      <c r="AH1110" s="10"/>
      <c r="AI1110" s="10"/>
      <c r="AJ1110" s="10"/>
      <c r="AK1110" s="10"/>
      <c r="AL1110" s="10"/>
      <c r="AM1110" s="10"/>
      <c r="AN1110" s="10" t="str">
        <f>"423.65"</f>
        <v>423.65</v>
      </c>
      <c r="AO1110" s="10"/>
    </row>
    <row r="1111" spans="1:41">
      <c r="A1111" s="8">
        <v>1109</v>
      </c>
      <c r="B1111" s="8">
        <v>11406</v>
      </c>
      <c r="C1111" s="8" t="s">
        <v>1303</v>
      </c>
      <c r="D1111" s="8" t="s">
        <v>50</v>
      </c>
      <c r="E1111" s="2" t="str">
        <f>"480.67"</f>
        <v>480.67</v>
      </c>
      <c r="F1111" s="9" t="s">
        <v>9</v>
      </c>
      <c r="G1111" s="9">
        <v>2017</v>
      </c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  <c r="R1111" s="10"/>
      <c r="S1111" s="10"/>
      <c r="T1111" s="10"/>
      <c r="U1111" s="10" t="str">
        <f>"440.67"</f>
        <v>440.67</v>
      </c>
      <c r="V1111" s="10"/>
      <c r="W1111" s="10"/>
      <c r="X1111" s="10"/>
      <c r="Y1111" s="10"/>
      <c r="Z1111" s="10"/>
      <c r="AA1111" s="10"/>
      <c r="AB1111" s="10"/>
      <c r="AC1111" s="10"/>
      <c r="AD1111" s="10"/>
      <c r="AE1111" s="10"/>
      <c r="AF1111" s="10"/>
      <c r="AG1111" s="10"/>
      <c r="AH1111" s="10"/>
      <c r="AI1111" s="10"/>
      <c r="AJ1111" s="10"/>
      <c r="AK1111" s="10"/>
      <c r="AL1111" s="10"/>
      <c r="AM1111" s="10"/>
      <c r="AN1111" s="10"/>
      <c r="AO1111" s="10"/>
    </row>
    <row r="1112" spans="1:41">
      <c r="A1112" s="8">
        <v>1110</v>
      </c>
      <c r="B1112" s="8">
        <v>11138</v>
      </c>
      <c r="C1112" s="8" t="s">
        <v>1304</v>
      </c>
      <c r="D1112" s="8" t="s">
        <v>19</v>
      </c>
      <c r="E1112" s="2" t="str">
        <f>"481.80"</f>
        <v>481.80</v>
      </c>
      <c r="F1112" s="9"/>
      <c r="G1112" s="9">
        <v>2017</v>
      </c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  <c r="S1112" s="10"/>
      <c r="T1112" s="10"/>
      <c r="U1112" s="10"/>
      <c r="V1112" s="10"/>
      <c r="W1112" s="10"/>
      <c r="X1112" s="10"/>
      <c r="Y1112" s="10"/>
      <c r="Z1112" s="10"/>
      <c r="AA1112" s="10"/>
      <c r="AB1112" s="10" t="str">
        <f>"594.32"</f>
        <v>594.32</v>
      </c>
      <c r="AC1112" s="10"/>
      <c r="AD1112" s="10"/>
      <c r="AE1112" s="10"/>
      <c r="AF1112" s="10"/>
      <c r="AG1112" s="10"/>
      <c r="AH1112" s="10"/>
      <c r="AI1112" s="10"/>
      <c r="AJ1112" s="10"/>
      <c r="AK1112" s="10"/>
      <c r="AL1112" s="10"/>
      <c r="AM1112" s="10" t="str">
        <f>"369.28"</f>
        <v>369.28</v>
      </c>
      <c r="AN1112" s="10"/>
      <c r="AO1112" s="10"/>
    </row>
    <row r="1113" spans="1:41">
      <c r="A1113" s="8">
        <v>1111</v>
      </c>
      <c r="B1113" s="8">
        <v>11390</v>
      </c>
      <c r="C1113" s="8" t="s">
        <v>1305</v>
      </c>
      <c r="D1113" s="8" t="s">
        <v>12</v>
      </c>
      <c r="E1113" s="2" t="str">
        <f>"482.09"</f>
        <v>482.09</v>
      </c>
      <c r="F1113" s="9" t="s">
        <v>9</v>
      </c>
      <c r="G1113" s="9">
        <v>2017</v>
      </c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  <c r="S1113" s="10"/>
      <c r="T1113" s="10"/>
      <c r="U1113" s="10" t="str">
        <f>"442.09"</f>
        <v>442.09</v>
      </c>
      <c r="V1113" s="10"/>
      <c r="W1113" s="10"/>
      <c r="X1113" s="10"/>
      <c r="Y1113" s="10"/>
      <c r="Z1113" s="10"/>
      <c r="AA1113" s="10"/>
      <c r="AB1113" s="10"/>
      <c r="AC1113" s="10"/>
      <c r="AD1113" s="10"/>
      <c r="AE1113" s="10"/>
      <c r="AF1113" s="10"/>
      <c r="AG1113" s="10"/>
      <c r="AH1113" s="10"/>
      <c r="AI1113" s="10"/>
      <c r="AJ1113" s="10"/>
      <c r="AK1113" s="10"/>
      <c r="AL1113" s="10"/>
      <c r="AM1113" s="10"/>
      <c r="AN1113" s="10"/>
      <c r="AO1113" s="10"/>
    </row>
    <row r="1114" spans="1:41">
      <c r="A1114" s="8">
        <v>1112</v>
      </c>
      <c r="B1114" s="8">
        <v>10941</v>
      </c>
      <c r="C1114" s="8" t="s">
        <v>1306</v>
      </c>
      <c r="D1114" s="8" t="s">
        <v>10</v>
      </c>
      <c r="E1114" s="2" t="str">
        <f>"482.76"</f>
        <v>482.76</v>
      </c>
      <c r="F1114" s="9" t="s">
        <v>9</v>
      </c>
      <c r="G1114" s="9">
        <v>2017</v>
      </c>
      <c r="H1114" s="10" t="str">
        <f>"568.41"</f>
        <v>568.41</v>
      </c>
      <c r="I1114" s="10"/>
      <c r="J1114" s="10"/>
      <c r="K1114" s="10"/>
      <c r="L1114" s="10"/>
      <c r="M1114" s="10"/>
      <c r="N1114" s="10"/>
      <c r="O1114" s="10"/>
      <c r="P1114" s="10"/>
      <c r="Q1114" s="10" t="str">
        <f>"442.76"</f>
        <v>442.76</v>
      </c>
      <c r="R1114" s="10"/>
      <c r="S1114" s="10"/>
      <c r="T1114" s="10"/>
      <c r="U1114" s="10"/>
      <c r="V1114" s="10"/>
      <c r="W1114" s="10"/>
      <c r="X1114" s="10"/>
      <c r="Y1114" s="10"/>
      <c r="Z1114" s="10"/>
      <c r="AA1114" s="10"/>
      <c r="AB1114" s="10"/>
      <c r="AC1114" s="10"/>
      <c r="AD1114" s="10"/>
      <c r="AE1114" s="10"/>
      <c r="AF1114" s="10"/>
      <c r="AG1114" s="10"/>
      <c r="AH1114" s="10"/>
      <c r="AI1114" s="10"/>
      <c r="AJ1114" s="10"/>
      <c r="AK1114" s="10"/>
      <c r="AL1114" s="10"/>
      <c r="AM1114" s="10"/>
      <c r="AN1114" s="10"/>
      <c r="AO1114" s="10"/>
    </row>
    <row r="1115" spans="1:41">
      <c r="A1115" s="8">
        <v>1113</v>
      </c>
      <c r="B1115" s="8">
        <v>11294</v>
      </c>
      <c r="C1115" s="8" t="s">
        <v>1307</v>
      </c>
      <c r="D1115" s="8" t="s">
        <v>10</v>
      </c>
      <c r="E1115" s="2" t="str">
        <f>"483.69"</f>
        <v>483.69</v>
      </c>
      <c r="F1115" s="9"/>
      <c r="G1115" s="9">
        <v>2017</v>
      </c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  <c r="S1115" s="10"/>
      <c r="T1115" s="10"/>
      <c r="U1115" s="10"/>
      <c r="V1115" s="10"/>
      <c r="W1115" s="10"/>
      <c r="X1115" s="10"/>
      <c r="Y1115" s="10"/>
      <c r="Z1115" s="10"/>
      <c r="AA1115" s="10"/>
      <c r="AB1115" s="10"/>
      <c r="AC1115" s="10"/>
      <c r="AD1115" s="10"/>
      <c r="AE1115" s="10" t="str">
        <f>"553.52"</f>
        <v>553.52</v>
      </c>
      <c r="AF1115" s="10"/>
      <c r="AG1115" s="10"/>
      <c r="AH1115" s="10"/>
      <c r="AI1115" s="10"/>
      <c r="AJ1115" s="10"/>
      <c r="AK1115" s="10"/>
      <c r="AL1115" s="10"/>
      <c r="AM1115" s="10"/>
      <c r="AN1115" s="10" t="str">
        <f>"413.86"</f>
        <v>413.86</v>
      </c>
      <c r="AO1115" s="10"/>
    </row>
    <row r="1116" spans="1:41">
      <c r="A1116" s="8">
        <v>1114</v>
      </c>
      <c r="B1116" s="8">
        <v>10524</v>
      </c>
      <c r="C1116" s="8" t="s">
        <v>1308</v>
      </c>
      <c r="D1116" s="8" t="s">
        <v>50</v>
      </c>
      <c r="E1116" s="2" t="str">
        <f>"486.35"</f>
        <v>486.35</v>
      </c>
      <c r="F1116" s="9"/>
      <c r="G1116" s="9">
        <v>2017</v>
      </c>
      <c r="H1116" s="10" t="str">
        <f>"741.15"</f>
        <v>741.15</v>
      </c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  <c r="S1116" s="10"/>
      <c r="T1116" s="10"/>
      <c r="U1116" s="10" t="str">
        <f>"589.75"</f>
        <v>589.75</v>
      </c>
      <c r="V1116" s="10"/>
      <c r="W1116" s="10" t="str">
        <f>"382.95"</f>
        <v>382.95</v>
      </c>
      <c r="X1116" s="10"/>
      <c r="Y1116" s="10"/>
      <c r="Z1116" s="10"/>
      <c r="AA1116" s="10"/>
      <c r="AB1116" s="10"/>
      <c r="AC1116" s="10"/>
      <c r="AD1116" s="10"/>
      <c r="AE1116" s="10"/>
      <c r="AF1116" s="10"/>
      <c r="AG1116" s="10"/>
      <c r="AH1116" s="10"/>
      <c r="AI1116" s="10"/>
      <c r="AJ1116" s="10"/>
      <c r="AK1116" s="10"/>
      <c r="AL1116" s="10"/>
      <c r="AM1116" s="10"/>
      <c r="AN1116" s="10"/>
      <c r="AO1116" s="10"/>
    </row>
    <row r="1117" spans="1:41">
      <c r="A1117" s="8">
        <v>1115</v>
      </c>
      <c r="B1117" s="8">
        <v>10858</v>
      </c>
      <c r="C1117" s="8" t="s">
        <v>1309</v>
      </c>
      <c r="D1117" s="8" t="s">
        <v>10</v>
      </c>
      <c r="E1117" s="2" t="str">
        <f>"486.99"</f>
        <v>486.99</v>
      </c>
      <c r="F1117" s="9" t="s">
        <v>9</v>
      </c>
      <c r="G1117" s="9">
        <v>2017</v>
      </c>
      <c r="H1117" s="10"/>
      <c r="I1117" s="10"/>
      <c r="J1117" s="10"/>
      <c r="K1117" s="10"/>
      <c r="L1117" s="10"/>
      <c r="M1117" s="10"/>
      <c r="N1117" s="10"/>
      <c r="O1117" s="10"/>
      <c r="P1117" s="10"/>
      <c r="Q1117" s="10" t="str">
        <f>"446.99"</f>
        <v>446.99</v>
      </c>
      <c r="R1117" s="10"/>
      <c r="S1117" s="10"/>
      <c r="T1117" s="10"/>
      <c r="U1117" s="10"/>
      <c r="V1117" s="10"/>
      <c r="W1117" s="10"/>
      <c r="X1117" s="10"/>
      <c r="Y1117" s="10"/>
      <c r="Z1117" s="10"/>
      <c r="AA1117" s="10"/>
      <c r="AB1117" s="10"/>
      <c r="AC1117" s="10"/>
      <c r="AD1117" s="10"/>
      <c r="AE1117" s="10"/>
      <c r="AF1117" s="10"/>
      <c r="AG1117" s="10"/>
      <c r="AH1117" s="10"/>
      <c r="AI1117" s="10"/>
      <c r="AJ1117" s="10"/>
      <c r="AK1117" s="10"/>
      <c r="AL1117" s="10"/>
      <c r="AM1117" s="10"/>
      <c r="AN1117" s="10"/>
      <c r="AO1117" s="10"/>
    </row>
    <row r="1118" spans="1:41">
      <c r="A1118" s="8">
        <v>1116</v>
      </c>
      <c r="B1118" s="8">
        <v>11086</v>
      </c>
      <c r="C1118" s="8" t="s">
        <v>1310</v>
      </c>
      <c r="D1118" s="8" t="s">
        <v>180</v>
      </c>
      <c r="E1118" s="2" t="str">
        <f>"489.79"</f>
        <v>489.79</v>
      </c>
      <c r="F1118" s="9"/>
      <c r="G1118" s="9">
        <v>2017</v>
      </c>
      <c r="H1118" s="10" t="str">
        <f>"766.24"</f>
        <v>766.24</v>
      </c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  <c r="S1118" s="10"/>
      <c r="T1118" s="10"/>
      <c r="U1118" s="10" t="str">
        <f>"555.58"</f>
        <v>555.58</v>
      </c>
      <c r="V1118" s="10"/>
      <c r="W1118" s="10" t="str">
        <f>"424.00"</f>
        <v>424.00</v>
      </c>
      <c r="X1118" s="10"/>
      <c r="Y1118" s="10"/>
      <c r="Z1118" s="10"/>
      <c r="AA1118" s="10"/>
      <c r="AB1118" s="10"/>
      <c r="AC1118" s="10"/>
      <c r="AD1118" s="10"/>
      <c r="AE1118" s="10"/>
      <c r="AF1118" s="10"/>
      <c r="AG1118" s="10"/>
      <c r="AH1118" s="10"/>
      <c r="AI1118" s="10"/>
      <c r="AJ1118" s="10"/>
      <c r="AK1118" s="10"/>
      <c r="AL1118" s="10"/>
      <c r="AM1118" s="10"/>
      <c r="AN1118" s="10"/>
      <c r="AO1118" s="10"/>
    </row>
    <row r="1119" spans="1:41">
      <c r="A1119" s="8">
        <v>1117</v>
      </c>
      <c r="B1119" s="8">
        <v>10856</v>
      </c>
      <c r="C1119" s="8" t="s">
        <v>1311</v>
      </c>
      <c r="D1119" s="8" t="s">
        <v>10</v>
      </c>
      <c r="E1119" s="2" t="str">
        <f>"490.81"</f>
        <v>490.81</v>
      </c>
      <c r="F1119" s="9" t="s">
        <v>9</v>
      </c>
      <c r="G1119" s="9">
        <v>2017</v>
      </c>
      <c r="H1119" s="10" t="str">
        <f>"780.00"</f>
        <v>780.00</v>
      </c>
      <c r="I1119" s="10"/>
      <c r="J1119" s="10"/>
      <c r="K1119" s="10"/>
      <c r="L1119" s="10"/>
      <c r="M1119" s="10"/>
      <c r="N1119" s="10"/>
      <c r="O1119" s="10"/>
      <c r="P1119" s="10"/>
      <c r="Q1119" s="10" t="str">
        <f>"450.81"</f>
        <v>450.81</v>
      </c>
      <c r="R1119" s="10"/>
      <c r="S1119" s="10"/>
      <c r="T1119" s="10"/>
      <c r="U1119" s="10"/>
      <c r="V1119" s="10"/>
      <c r="W1119" s="10"/>
      <c r="X1119" s="10"/>
      <c r="Y1119" s="10"/>
      <c r="Z1119" s="10"/>
      <c r="AA1119" s="10"/>
      <c r="AB1119" s="10"/>
      <c r="AC1119" s="10"/>
      <c r="AD1119" s="10"/>
      <c r="AE1119" s="10"/>
      <c r="AF1119" s="10"/>
      <c r="AG1119" s="10"/>
      <c r="AH1119" s="10"/>
      <c r="AI1119" s="10"/>
      <c r="AJ1119" s="10"/>
      <c r="AK1119" s="10"/>
      <c r="AL1119" s="10"/>
      <c r="AM1119" s="10"/>
      <c r="AN1119" s="10"/>
      <c r="AO1119" s="10"/>
    </row>
    <row r="1120" spans="1:41">
      <c r="A1120" s="8">
        <v>1118</v>
      </c>
      <c r="B1120" s="8">
        <v>10838</v>
      </c>
      <c r="C1120" s="8" t="s">
        <v>1312</v>
      </c>
      <c r="D1120" s="8" t="s">
        <v>10</v>
      </c>
      <c r="E1120" s="2" t="str">
        <f>"491.61"</f>
        <v>491.61</v>
      </c>
      <c r="F1120" s="9"/>
      <c r="G1120" s="9">
        <v>2017</v>
      </c>
      <c r="H1120" s="10"/>
      <c r="I1120" s="10"/>
      <c r="J1120" s="10"/>
      <c r="K1120" s="10"/>
      <c r="L1120" s="10"/>
      <c r="M1120" s="10"/>
      <c r="N1120" s="10"/>
      <c r="O1120" s="10"/>
      <c r="P1120" s="10"/>
      <c r="Q1120" s="10" t="str">
        <f>"578.30"</f>
        <v>578.30</v>
      </c>
      <c r="R1120" s="10"/>
      <c r="S1120" s="10"/>
      <c r="T1120" s="10"/>
      <c r="U1120" s="10"/>
      <c r="V1120" s="10"/>
      <c r="W1120" s="10"/>
      <c r="X1120" s="10"/>
      <c r="Y1120" s="10"/>
      <c r="Z1120" s="10"/>
      <c r="AA1120" s="10"/>
      <c r="AB1120" s="10"/>
      <c r="AC1120" s="10"/>
      <c r="AD1120" s="10"/>
      <c r="AE1120" s="10" t="str">
        <f>"404.91"</f>
        <v>404.91</v>
      </c>
      <c r="AF1120" s="10"/>
      <c r="AG1120" s="10"/>
      <c r="AH1120" s="10"/>
      <c r="AI1120" s="10"/>
      <c r="AJ1120" s="10"/>
      <c r="AK1120" s="10"/>
      <c r="AL1120" s="10"/>
      <c r="AM1120" s="10"/>
      <c r="AN1120" s="10"/>
      <c r="AO1120" s="10"/>
    </row>
    <row r="1121" spans="1:41">
      <c r="A1121" s="8">
        <v>1119</v>
      </c>
      <c r="B1121" s="8">
        <v>11239</v>
      </c>
      <c r="C1121" s="8" t="s">
        <v>1313</v>
      </c>
      <c r="D1121" s="8" t="s">
        <v>10</v>
      </c>
      <c r="E1121" s="2" t="str">
        <f>"491.88"</f>
        <v>491.88</v>
      </c>
      <c r="F1121" s="9"/>
      <c r="G1121" s="9">
        <v>2017</v>
      </c>
      <c r="H1121" s="10"/>
      <c r="I1121" s="10"/>
      <c r="J1121" s="10"/>
      <c r="K1121" s="10"/>
      <c r="L1121" s="10"/>
      <c r="M1121" s="10"/>
      <c r="N1121" s="10"/>
      <c r="O1121" s="10"/>
      <c r="P1121" s="10"/>
      <c r="Q1121" s="10" t="str">
        <f>"517.62"</f>
        <v>517.62</v>
      </c>
      <c r="R1121" s="10"/>
      <c r="S1121" s="10"/>
      <c r="T1121" s="10"/>
      <c r="U1121" s="10"/>
      <c r="V1121" s="10"/>
      <c r="W1121" s="10"/>
      <c r="X1121" s="10"/>
      <c r="Y1121" s="10"/>
      <c r="Z1121" s="10"/>
      <c r="AA1121" s="10"/>
      <c r="AB1121" s="10"/>
      <c r="AC1121" s="10"/>
      <c r="AD1121" s="10"/>
      <c r="AE1121" s="10"/>
      <c r="AF1121" s="10"/>
      <c r="AG1121" s="10"/>
      <c r="AH1121" s="10"/>
      <c r="AI1121" s="10"/>
      <c r="AJ1121" s="10"/>
      <c r="AK1121" s="10"/>
      <c r="AL1121" s="10"/>
      <c r="AM1121" s="10"/>
      <c r="AN1121" s="10" t="str">
        <f>"466.13"</f>
        <v>466.13</v>
      </c>
      <c r="AO1121" s="10"/>
    </row>
    <row r="1122" spans="1:41">
      <c r="A1122" s="8">
        <v>1120</v>
      </c>
      <c r="B1122" s="8">
        <v>10947</v>
      </c>
      <c r="C1122" s="8" t="s">
        <v>1314</v>
      </c>
      <c r="D1122" s="8" t="s">
        <v>19</v>
      </c>
      <c r="E1122" s="2" t="str">
        <f>"492.14"</f>
        <v>492.14</v>
      </c>
      <c r="F1122" s="9"/>
      <c r="G1122" s="9">
        <v>2017</v>
      </c>
      <c r="H1122" s="10" t="str">
        <f>"683.24"</f>
        <v>683.24</v>
      </c>
      <c r="I1122" s="10"/>
      <c r="J1122" s="10"/>
      <c r="K1122" s="10"/>
      <c r="L1122" s="10"/>
      <c r="M1122" s="10"/>
      <c r="N1122" s="10"/>
      <c r="O1122" s="10"/>
      <c r="P1122" s="10"/>
      <c r="Q1122" s="10"/>
      <c r="R1122" s="10"/>
      <c r="S1122" s="10"/>
      <c r="T1122" s="10"/>
      <c r="U1122" s="10"/>
      <c r="V1122" s="10"/>
      <c r="W1122" s="10"/>
      <c r="X1122" s="10"/>
      <c r="Y1122" s="10" t="str">
        <f>"525.66"</f>
        <v>525.66</v>
      </c>
      <c r="Z1122" s="10"/>
      <c r="AA1122" s="10"/>
      <c r="AB1122" s="10" t="str">
        <f>"458.62"</f>
        <v>458.62</v>
      </c>
      <c r="AC1122" s="10"/>
      <c r="AD1122" s="10"/>
      <c r="AE1122" s="10"/>
      <c r="AF1122" s="10"/>
      <c r="AG1122" s="10"/>
      <c r="AH1122" s="10"/>
      <c r="AI1122" s="10"/>
      <c r="AJ1122" s="10"/>
      <c r="AK1122" s="10"/>
      <c r="AL1122" s="10"/>
      <c r="AM1122" s="10"/>
      <c r="AN1122" s="10"/>
      <c r="AO1122" s="10"/>
    </row>
    <row r="1123" spans="1:41">
      <c r="A1123" s="8">
        <v>1121</v>
      </c>
      <c r="B1123" s="8">
        <v>10836</v>
      </c>
      <c r="C1123" s="8" t="s">
        <v>1315</v>
      </c>
      <c r="D1123" s="8" t="s">
        <v>10</v>
      </c>
      <c r="E1123" s="2" t="str">
        <f>"493.53"</f>
        <v>493.53</v>
      </c>
      <c r="F1123" s="9" t="s">
        <v>9</v>
      </c>
      <c r="G1123" s="9">
        <v>2017</v>
      </c>
      <c r="H1123" s="10"/>
      <c r="I1123" s="10"/>
      <c r="J1123" s="10"/>
      <c r="K1123" s="10"/>
      <c r="L1123" s="10"/>
      <c r="M1123" s="10"/>
      <c r="N1123" s="10"/>
      <c r="O1123" s="10"/>
      <c r="P1123" s="10"/>
      <c r="Q1123" s="10" t="str">
        <f>"453.53"</f>
        <v>453.53</v>
      </c>
      <c r="R1123" s="10"/>
      <c r="S1123" s="10"/>
      <c r="T1123" s="10"/>
      <c r="U1123" s="10"/>
      <c r="V1123" s="10"/>
      <c r="W1123" s="10"/>
      <c r="X1123" s="10"/>
      <c r="Y1123" s="10"/>
      <c r="Z1123" s="10"/>
      <c r="AA1123" s="10"/>
      <c r="AB1123" s="10"/>
      <c r="AC1123" s="10"/>
      <c r="AD1123" s="10"/>
      <c r="AE1123" s="10"/>
      <c r="AF1123" s="10"/>
      <c r="AG1123" s="10"/>
      <c r="AH1123" s="10"/>
      <c r="AI1123" s="10"/>
      <c r="AJ1123" s="10"/>
      <c r="AK1123" s="10"/>
      <c r="AL1123" s="10"/>
      <c r="AM1123" s="10"/>
      <c r="AN1123" s="10"/>
      <c r="AO1123" s="10"/>
    </row>
    <row r="1124" spans="1:41">
      <c r="A1124" s="8">
        <v>1122</v>
      </c>
      <c r="B1124" s="8">
        <v>11288</v>
      </c>
      <c r="C1124" s="8" t="s">
        <v>1316</v>
      </c>
      <c r="D1124" s="8" t="s">
        <v>10</v>
      </c>
      <c r="E1124" s="2" t="str">
        <f>"493.56"</f>
        <v>493.56</v>
      </c>
      <c r="F1124" s="9" t="s">
        <v>9</v>
      </c>
      <c r="G1124" s="9">
        <v>2017</v>
      </c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  <c r="R1124" s="10"/>
      <c r="S1124" s="10"/>
      <c r="T1124" s="10"/>
      <c r="U1124" s="10"/>
      <c r="V1124" s="10"/>
      <c r="W1124" s="10"/>
      <c r="X1124" s="10"/>
      <c r="Y1124" s="10"/>
      <c r="Z1124" s="10"/>
      <c r="AA1124" s="10"/>
      <c r="AB1124" s="10"/>
      <c r="AC1124" s="10"/>
      <c r="AD1124" s="10"/>
      <c r="AE1124" s="10"/>
      <c r="AF1124" s="10"/>
      <c r="AG1124" s="10"/>
      <c r="AH1124" s="10"/>
      <c r="AI1124" s="10"/>
      <c r="AJ1124" s="10"/>
      <c r="AK1124" s="10"/>
      <c r="AL1124" s="10"/>
      <c r="AM1124" s="10"/>
      <c r="AN1124" s="10" t="str">
        <f>"453.56"</f>
        <v>453.56</v>
      </c>
      <c r="AO1124" s="10"/>
    </row>
    <row r="1125" spans="1:41">
      <c r="A1125" s="8">
        <v>1123</v>
      </c>
      <c r="B1125" s="8">
        <v>10733</v>
      </c>
      <c r="C1125" s="8" t="s">
        <v>1317</v>
      </c>
      <c r="D1125" s="8" t="s">
        <v>19</v>
      </c>
      <c r="E1125" s="2" t="str">
        <f>"493.57"</f>
        <v>493.57</v>
      </c>
      <c r="F1125" s="9"/>
      <c r="G1125" s="9">
        <v>2017</v>
      </c>
      <c r="H1125" s="10" t="str">
        <f>"722.34"</f>
        <v>722.34</v>
      </c>
      <c r="I1125" s="10"/>
      <c r="J1125" s="10"/>
      <c r="K1125" s="10"/>
      <c r="L1125" s="10"/>
      <c r="M1125" s="10"/>
      <c r="N1125" s="10"/>
      <c r="O1125" s="10"/>
      <c r="P1125" s="10"/>
      <c r="Q1125" s="10"/>
      <c r="R1125" s="10"/>
      <c r="S1125" s="10"/>
      <c r="T1125" s="10"/>
      <c r="U1125" s="10"/>
      <c r="V1125" s="10"/>
      <c r="W1125" s="10"/>
      <c r="X1125" s="10"/>
      <c r="Y1125" s="10" t="str">
        <f>"496.76"</f>
        <v>496.76</v>
      </c>
      <c r="Z1125" s="10"/>
      <c r="AA1125" s="10"/>
      <c r="AB1125" s="10" t="str">
        <f>"490.37"</f>
        <v>490.37</v>
      </c>
      <c r="AC1125" s="10"/>
      <c r="AD1125" s="10"/>
      <c r="AE1125" s="10"/>
      <c r="AF1125" s="10"/>
      <c r="AG1125" s="10"/>
      <c r="AH1125" s="10"/>
      <c r="AI1125" s="10"/>
      <c r="AJ1125" s="10"/>
      <c r="AK1125" s="10"/>
      <c r="AL1125" s="10"/>
      <c r="AM1125" s="10"/>
      <c r="AN1125" s="10"/>
      <c r="AO1125" s="10"/>
    </row>
    <row r="1126" spans="1:41">
      <c r="A1126" s="8">
        <v>1124</v>
      </c>
      <c r="B1126" s="8">
        <v>11100</v>
      </c>
      <c r="C1126" s="8" t="s">
        <v>1318</v>
      </c>
      <c r="D1126" s="8" t="s">
        <v>14</v>
      </c>
      <c r="E1126" s="2" t="str">
        <f>"493.81"</f>
        <v>493.81</v>
      </c>
      <c r="F1126" s="9" t="s">
        <v>9</v>
      </c>
      <c r="G1126" s="9">
        <v>2017</v>
      </c>
      <c r="H1126" s="10" t="str">
        <f>"737.07"</f>
        <v>737.07</v>
      </c>
      <c r="I1126" s="10"/>
      <c r="J1126" s="10"/>
      <c r="K1126" s="10"/>
      <c r="L1126" s="10"/>
      <c r="M1126" s="10"/>
      <c r="N1126" s="10"/>
      <c r="O1126" s="10"/>
      <c r="P1126" s="10"/>
      <c r="Q1126" s="10"/>
      <c r="R1126" s="10"/>
      <c r="S1126" s="10"/>
      <c r="T1126" s="10"/>
      <c r="U1126" s="10"/>
      <c r="V1126" s="10"/>
      <c r="W1126" s="10" t="str">
        <f>"453.81"</f>
        <v>453.81</v>
      </c>
      <c r="X1126" s="10"/>
      <c r="Y1126" s="10"/>
      <c r="Z1126" s="10"/>
      <c r="AA1126" s="10"/>
      <c r="AB1126" s="10"/>
      <c r="AC1126" s="10"/>
      <c r="AD1126" s="10"/>
      <c r="AE1126" s="10"/>
      <c r="AF1126" s="10"/>
      <c r="AG1126" s="10"/>
      <c r="AH1126" s="10"/>
      <c r="AI1126" s="10"/>
      <c r="AJ1126" s="10"/>
      <c r="AK1126" s="10"/>
      <c r="AL1126" s="10"/>
      <c r="AM1126" s="10"/>
      <c r="AN1126" s="10"/>
      <c r="AO1126" s="10"/>
    </row>
    <row r="1127" spans="1:41">
      <c r="A1127" s="8">
        <v>1125</v>
      </c>
      <c r="B1127" s="8">
        <v>3249</v>
      </c>
      <c r="C1127" s="8" t="s">
        <v>1319</v>
      </c>
      <c r="D1127" s="8" t="s">
        <v>81</v>
      </c>
      <c r="E1127" s="2" t="str">
        <f>"494.10"</f>
        <v>494.10</v>
      </c>
      <c r="F1127" s="9" t="s">
        <v>9</v>
      </c>
      <c r="G1127" s="9">
        <v>2017</v>
      </c>
      <c r="H1127" s="10" t="str">
        <f>"459.44"</f>
        <v>459.44</v>
      </c>
      <c r="I1127" s="10"/>
      <c r="J1127" s="10"/>
      <c r="K1127" s="10"/>
      <c r="L1127" s="10"/>
      <c r="M1127" s="10"/>
      <c r="N1127" s="10"/>
      <c r="O1127" s="10"/>
      <c r="P1127" s="10"/>
      <c r="Q1127" s="10"/>
      <c r="R1127" s="10"/>
      <c r="S1127" s="10"/>
      <c r="T1127" s="10" t="str">
        <f>"454.10"</f>
        <v>454.10</v>
      </c>
      <c r="U1127" s="10"/>
      <c r="V1127" s="10"/>
      <c r="W1127" s="10"/>
      <c r="X1127" s="10"/>
      <c r="Y1127" s="10"/>
      <c r="Z1127" s="10"/>
      <c r="AA1127" s="10"/>
      <c r="AB1127" s="10"/>
      <c r="AC1127" s="10"/>
      <c r="AD1127" s="10"/>
      <c r="AE1127" s="10"/>
      <c r="AF1127" s="10"/>
      <c r="AG1127" s="10"/>
      <c r="AH1127" s="10"/>
      <c r="AI1127" s="10"/>
      <c r="AJ1127" s="10"/>
      <c r="AK1127" s="10"/>
      <c r="AL1127" s="10"/>
      <c r="AM1127" s="10"/>
      <c r="AN1127" s="10"/>
      <c r="AO1127" s="10"/>
    </row>
    <row r="1128" spans="1:41">
      <c r="A1128" s="8">
        <v>1126</v>
      </c>
      <c r="B1128" s="8">
        <v>10949</v>
      </c>
      <c r="C1128" s="8" t="s">
        <v>1320</v>
      </c>
      <c r="D1128" s="8" t="s">
        <v>19</v>
      </c>
      <c r="E1128" s="2" t="str">
        <f>"494.54"</f>
        <v>494.54</v>
      </c>
      <c r="F1128" s="9" t="s">
        <v>9</v>
      </c>
      <c r="G1128" s="9">
        <v>2017</v>
      </c>
      <c r="H1128" s="10" t="str">
        <f>"519.66"</f>
        <v>519.66</v>
      </c>
      <c r="I1128" s="10"/>
      <c r="J1128" s="10"/>
      <c r="K1128" s="10"/>
      <c r="L1128" s="10"/>
      <c r="M1128" s="10"/>
      <c r="N1128" s="10"/>
      <c r="O1128" s="10"/>
      <c r="P1128" s="10"/>
      <c r="Q1128" s="10"/>
      <c r="R1128" s="10"/>
      <c r="S1128" s="10"/>
      <c r="T1128" s="10"/>
      <c r="U1128" s="10"/>
      <c r="V1128" s="10"/>
      <c r="W1128" s="10"/>
      <c r="X1128" s="10"/>
      <c r="Y1128" s="10"/>
      <c r="Z1128" s="10"/>
      <c r="AA1128" s="10"/>
      <c r="AB1128" s="10" t="str">
        <f>"454.54"</f>
        <v>454.54</v>
      </c>
      <c r="AC1128" s="10"/>
      <c r="AD1128" s="10"/>
      <c r="AE1128" s="10"/>
      <c r="AF1128" s="10"/>
      <c r="AG1128" s="10"/>
      <c r="AH1128" s="10"/>
      <c r="AI1128" s="10"/>
      <c r="AJ1128" s="10"/>
      <c r="AK1128" s="10"/>
      <c r="AL1128" s="10"/>
      <c r="AM1128" s="10"/>
      <c r="AN1128" s="10"/>
      <c r="AO1128" s="10"/>
    </row>
    <row r="1129" spans="1:41">
      <c r="A1129" s="8">
        <v>1127</v>
      </c>
      <c r="B1129" s="8">
        <v>10915</v>
      </c>
      <c r="C1129" s="8" t="s">
        <v>1321</v>
      </c>
      <c r="D1129" s="8" t="s">
        <v>10</v>
      </c>
      <c r="E1129" s="2" t="str">
        <f>"494.91"</f>
        <v>494.91</v>
      </c>
      <c r="F1129" s="9"/>
      <c r="G1129" s="9">
        <v>2017</v>
      </c>
      <c r="H1129" s="10"/>
      <c r="I1129" s="10"/>
      <c r="J1129" s="10"/>
      <c r="K1129" s="10"/>
      <c r="L1129" s="10"/>
      <c r="M1129" s="10"/>
      <c r="N1129" s="10"/>
      <c r="O1129" s="10"/>
      <c r="P1129" s="10"/>
      <c r="Q1129" s="10" t="str">
        <f>"521.30"</f>
        <v>521.30</v>
      </c>
      <c r="R1129" s="10"/>
      <c r="S1129" s="10"/>
      <c r="T1129" s="10"/>
      <c r="U1129" s="10"/>
      <c r="V1129" s="10"/>
      <c r="W1129" s="10"/>
      <c r="X1129" s="10"/>
      <c r="Y1129" s="10"/>
      <c r="Z1129" s="10"/>
      <c r="AA1129" s="10"/>
      <c r="AB1129" s="10"/>
      <c r="AC1129" s="10"/>
      <c r="AD1129" s="10"/>
      <c r="AE1129" s="10"/>
      <c r="AF1129" s="10"/>
      <c r="AG1129" s="10"/>
      <c r="AH1129" s="10"/>
      <c r="AI1129" s="10"/>
      <c r="AJ1129" s="10"/>
      <c r="AK1129" s="10"/>
      <c r="AL1129" s="10"/>
      <c r="AM1129" s="10"/>
      <c r="AN1129" s="10" t="str">
        <f>"468.51"</f>
        <v>468.51</v>
      </c>
      <c r="AO1129" s="10"/>
    </row>
    <row r="1130" spans="1:41">
      <c r="A1130" s="8">
        <v>1128</v>
      </c>
      <c r="B1130" s="8">
        <v>9906</v>
      </c>
      <c r="C1130" s="8" t="s">
        <v>1322</v>
      </c>
      <c r="D1130" s="8" t="s">
        <v>336</v>
      </c>
      <c r="E1130" s="2" t="str">
        <f>"495.03"</f>
        <v>495.03</v>
      </c>
      <c r="F1130" s="9" t="s">
        <v>11</v>
      </c>
      <c r="G1130" s="9">
        <v>2017</v>
      </c>
      <c r="H1130" s="10" t="str">
        <f>"455.03"</f>
        <v>455.03</v>
      </c>
      <c r="I1130" s="10"/>
      <c r="J1130" s="10"/>
      <c r="K1130" s="10"/>
      <c r="L1130" s="10"/>
      <c r="M1130" s="10"/>
      <c r="N1130" s="10"/>
      <c r="O1130" s="10"/>
      <c r="P1130" s="10"/>
      <c r="Q1130" s="10"/>
      <c r="R1130" s="10"/>
      <c r="S1130" s="10"/>
      <c r="T1130" s="10"/>
      <c r="U1130" s="10"/>
      <c r="V1130" s="10"/>
      <c r="W1130" s="10"/>
      <c r="X1130" s="10"/>
      <c r="Y1130" s="10"/>
      <c r="Z1130" s="10"/>
      <c r="AA1130" s="10"/>
      <c r="AB1130" s="10"/>
      <c r="AC1130" s="10"/>
      <c r="AD1130" s="10"/>
      <c r="AE1130" s="10"/>
      <c r="AF1130" s="10"/>
      <c r="AG1130" s="10"/>
      <c r="AH1130" s="10"/>
      <c r="AI1130" s="10"/>
      <c r="AJ1130" s="10"/>
      <c r="AK1130" s="10"/>
      <c r="AL1130" s="10"/>
      <c r="AM1130" s="10"/>
      <c r="AN1130" s="10"/>
      <c r="AO1130" s="10"/>
    </row>
    <row r="1131" spans="1:41">
      <c r="A1131" s="8">
        <v>1129</v>
      </c>
      <c r="B1131" s="8">
        <v>10397</v>
      </c>
      <c r="C1131" s="8" t="s">
        <v>1323</v>
      </c>
      <c r="D1131" s="8" t="s">
        <v>19</v>
      </c>
      <c r="E1131" s="2" t="str">
        <f>"496.20"</f>
        <v>496.20</v>
      </c>
      <c r="F1131" s="9"/>
      <c r="G1131" s="9">
        <v>2017</v>
      </c>
      <c r="H1131" s="10" t="str">
        <f>"601.48"</f>
        <v>601.48</v>
      </c>
      <c r="I1131" s="10"/>
      <c r="J1131" s="10"/>
      <c r="K1131" s="10"/>
      <c r="L1131" s="10"/>
      <c r="M1131" s="10"/>
      <c r="N1131" s="10"/>
      <c r="O1131" s="10"/>
      <c r="P1131" s="10"/>
      <c r="Q1131" s="10"/>
      <c r="R1131" s="10"/>
      <c r="S1131" s="10"/>
      <c r="T1131" s="10"/>
      <c r="U1131" s="10"/>
      <c r="V1131" s="10"/>
      <c r="W1131" s="10"/>
      <c r="X1131" s="10"/>
      <c r="Y1131" s="10"/>
      <c r="Z1131" s="10"/>
      <c r="AA1131" s="10"/>
      <c r="AB1131" s="10" t="str">
        <f>"524.90"</f>
        <v>524.90</v>
      </c>
      <c r="AC1131" s="10"/>
      <c r="AD1131" s="10"/>
      <c r="AE1131" s="10"/>
      <c r="AF1131" s="10"/>
      <c r="AG1131" s="10"/>
      <c r="AH1131" s="10"/>
      <c r="AI1131" s="10"/>
      <c r="AJ1131" s="10"/>
      <c r="AK1131" s="10"/>
      <c r="AL1131" s="10"/>
      <c r="AM1131" s="10" t="str">
        <f>"467.49"</f>
        <v>467.49</v>
      </c>
      <c r="AN1131" s="10"/>
      <c r="AO1131" s="10"/>
    </row>
    <row r="1132" spans="1:41">
      <c r="A1132" s="8">
        <v>1130</v>
      </c>
      <c r="B1132" s="8">
        <v>11182</v>
      </c>
      <c r="C1132" s="8" t="s">
        <v>1324</v>
      </c>
      <c r="D1132" s="8" t="s">
        <v>19</v>
      </c>
      <c r="E1132" s="2" t="str">
        <f>"500.13"</f>
        <v>500.13</v>
      </c>
      <c r="F1132" s="9"/>
      <c r="G1132" s="9">
        <v>2017</v>
      </c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  <c r="R1132" s="10"/>
      <c r="S1132" s="10"/>
      <c r="T1132" s="10"/>
      <c r="U1132" s="10"/>
      <c r="V1132" s="10"/>
      <c r="W1132" s="10"/>
      <c r="X1132" s="10"/>
      <c r="Y1132" s="10"/>
      <c r="Z1132" s="10"/>
      <c r="AA1132" s="10"/>
      <c r="AB1132" s="10" t="str">
        <f>"521.55"</f>
        <v>521.55</v>
      </c>
      <c r="AC1132" s="10"/>
      <c r="AD1132" s="10"/>
      <c r="AE1132" s="10"/>
      <c r="AF1132" s="10"/>
      <c r="AG1132" s="10"/>
      <c r="AH1132" s="10"/>
      <c r="AI1132" s="10"/>
      <c r="AJ1132" s="10"/>
      <c r="AK1132" s="10"/>
      <c r="AL1132" s="10"/>
      <c r="AM1132" s="10" t="str">
        <f>"478.70"</f>
        <v>478.70</v>
      </c>
      <c r="AN1132" s="10"/>
      <c r="AO1132" s="10"/>
    </row>
    <row r="1133" spans="1:41">
      <c r="A1133" s="8">
        <v>1131</v>
      </c>
      <c r="B1133" s="8">
        <v>10184</v>
      </c>
      <c r="C1133" s="8" t="s">
        <v>1325</v>
      </c>
      <c r="D1133" s="8" t="s">
        <v>10</v>
      </c>
      <c r="E1133" s="2" t="str">
        <f>"500.71"</f>
        <v>500.71</v>
      </c>
      <c r="F1133" s="9"/>
      <c r="G1133" s="9">
        <v>2017</v>
      </c>
      <c r="H1133" s="10" t="str">
        <f>"660.17"</f>
        <v>660.17</v>
      </c>
      <c r="I1133" s="10"/>
      <c r="J1133" s="10"/>
      <c r="K1133" s="10"/>
      <c r="L1133" s="10"/>
      <c r="M1133" s="10"/>
      <c r="N1133" s="10"/>
      <c r="O1133" s="10"/>
      <c r="P1133" s="10"/>
      <c r="Q1133" s="10" t="str">
        <f>"537.67"</f>
        <v>537.67</v>
      </c>
      <c r="R1133" s="10"/>
      <c r="S1133" s="10"/>
      <c r="T1133" s="10"/>
      <c r="U1133" s="10"/>
      <c r="V1133" s="10"/>
      <c r="W1133" s="10"/>
      <c r="X1133" s="10"/>
      <c r="Y1133" s="10"/>
      <c r="Z1133" s="10"/>
      <c r="AA1133" s="10"/>
      <c r="AB1133" s="10"/>
      <c r="AC1133" s="10"/>
      <c r="AD1133" s="10"/>
      <c r="AE1133" s="10"/>
      <c r="AF1133" s="10"/>
      <c r="AG1133" s="10"/>
      <c r="AH1133" s="10"/>
      <c r="AI1133" s="10"/>
      <c r="AJ1133" s="10"/>
      <c r="AK1133" s="10"/>
      <c r="AL1133" s="10"/>
      <c r="AM1133" s="10"/>
      <c r="AN1133" s="10" t="str">
        <f>"463.75"</f>
        <v>463.75</v>
      </c>
      <c r="AO1133" s="10"/>
    </row>
    <row r="1134" spans="1:41">
      <c r="A1134" s="8">
        <v>1132</v>
      </c>
      <c r="B1134" s="8">
        <v>11285</v>
      </c>
      <c r="C1134" s="8" t="s">
        <v>1326</v>
      </c>
      <c r="D1134" s="8" t="s">
        <v>10</v>
      </c>
      <c r="E1134" s="2" t="str">
        <f>"501.36"</f>
        <v>501.36</v>
      </c>
      <c r="F1134" s="9"/>
      <c r="G1134" s="9">
        <v>2017</v>
      </c>
      <c r="H1134" s="10"/>
      <c r="I1134" s="10"/>
      <c r="J1134" s="10"/>
      <c r="K1134" s="10"/>
      <c r="L1134" s="10"/>
      <c r="M1134" s="10"/>
      <c r="N1134" s="10"/>
      <c r="O1134" s="10"/>
      <c r="P1134" s="10"/>
      <c r="Q1134" s="10" t="str">
        <f>"651.93"</f>
        <v>651.93</v>
      </c>
      <c r="R1134" s="10"/>
      <c r="S1134" s="10"/>
      <c r="T1134" s="10"/>
      <c r="U1134" s="10"/>
      <c r="V1134" s="10"/>
      <c r="W1134" s="10"/>
      <c r="X1134" s="10"/>
      <c r="Y1134" s="10"/>
      <c r="Z1134" s="10"/>
      <c r="AA1134" s="10"/>
      <c r="AB1134" s="10"/>
      <c r="AC1134" s="10"/>
      <c r="AD1134" s="10"/>
      <c r="AE1134" s="10" t="str">
        <f>"516.60"</f>
        <v>516.60</v>
      </c>
      <c r="AF1134" s="10"/>
      <c r="AG1134" s="10"/>
      <c r="AH1134" s="10"/>
      <c r="AI1134" s="10"/>
      <c r="AJ1134" s="10"/>
      <c r="AK1134" s="10"/>
      <c r="AL1134" s="10"/>
      <c r="AM1134" s="10"/>
      <c r="AN1134" s="10" t="str">
        <f>"486.11"</f>
        <v>486.11</v>
      </c>
      <c r="AO1134" s="10"/>
    </row>
    <row r="1135" spans="1:41">
      <c r="A1135" s="8">
        <v>1133</v>
      </c>
      <c r="B1135" s="8">
        <v>10684</v>
      </c>
      <c r="C1135" s="8" t="s">
        <v>1327</v>
      </c>
      <c r="D1135" s="8" t="s">
        <v>10</v>
      </c>
      <c r="E1135" s="2" t="str">
        <f>"501.40"</f>
        <v>501.40</v>
      </c>
      <c r="F1135" s="9" t="s">
        <v>11</v>
      </c>
      <c r="G1135" s="9">
        <v>2017</v>
      </c>
      <c r="H1135" s="10" t="str">
        <f>"461.40"</f>
        <v>461.40</v>
      </c>
      <c r="I1135" s="10"/>
      <c r="J1135" s="10"/>
      <c r="K1135" s="10"/>
      <c r="L1135" s="10"/>
      <c r="M1135" s="10"/>
      <c r="N1135" s="10"/>
      <c r="O1135" s="10"/>
      <c r="P1135" s="10"/>
      <c r="Q1135" s="10"/>
      <c r="R1135" s="10"/>
      <c r="S1135" s="10"/>
      <c r="T1135" s="10"/>
      <c r="U1135" s="10"/>
      <c r="V1135" s="10"/>
      <c r="W1135" s="10"/>
      <c r="X1135" s="10"/>
      <c r="Y1135" s="10"/>
      <c r="Z1135" s="10"/>
      <c r="AA1135" s="10"/>
      <c r="AB1135" s="10"/>
      <c r="AC1135" s="10"/>
      <c r="AD1135" s="10"/>
      <c r="AE1135" s="10"/>
      <c r="AF1135" s="10"/>
      <c r="AG1135" s="10"/>
      <c r="AH1135" s="10"/>
      <c r="AI1135" s="10"/>
      <c r="AJ1135" s="10"/>
      <c r="AK1135" s="10"/>
      <c r="AL1135" s="10"/>
      <c r="AM1135" s="10"/>
      <c r="AN1135" s="10"/>
      <c r="AO1135" s="10"/>
    </row>
    <row r="1136" spans="1:41">
      <c r="A1136" s="8">
        <v>1134</v>
      </c>
      <c r="B1136" s="8">
        <v>2159</v>
      </c>
      <c r="C1136" s="8" t="s">
        <v>1328</v>
      </c>
      <c r="D1136" s="8" t="s">
        <v>10</v>
      </c>
      <c r="E1136" s="2" t="str">
        <f>"502.18"</f>
        <v>502.18</v>
      </c>
      <c r="F1136" s="9" t="s">
        <v>11</v>
      </c>
      <c r="G1136" s="9">
        <v>2017</v>
      </c>
      <c r="H1136" s="10" t="str">
        <f>"462.18"</f>
        <v>462.18</v>
      </c>
      <c r="I1136" s="10"/>
      <c r="J1136" s="10"/>
      <c r="K1136" s="10"/>
      <c r="L1136" s="10"/>
      <c r="M1136" s="10"/>
      <c r="N1136" s="10"/>
      <c r="O1136" s="10"/>
      <c r="P1136" s="10"/>
      <c r="Q1136" s="10"/>
      <c r="R1136" s="10"/>
      <c r="S1136" s="10"/>
      <c r="T1136" s="10"/>
      <c r="U1136" s="10"/>
      <c r="V1136" s="10"/>
      <c r="W1136" s="10"/>
      <c r="X1136" s="10"/>
      <c r="Y1136" s="10"/>
      <c r="Z1136" s="10"/>
      <c r="AA1136" s="10"/>
      <c r="AB1136" s="10"/>
      <c r="AC1136" s="10"/>
      <c r="AD1136" s="10"/>
      <c r="AE1136" s="10"/>
      <c r="AF1136" s="10"/>
      <c r="AG1136" s="10"/>
      <c r="AH1136" s="10"/>
      <c r="AI1136" s="10"/>
      <c r="AJ1136" s="10"/>
      <c r="AK1136" s="10"/>
      <c r="AL1136" s="10"/>
      <c r="AM1136" s="10"/>
      <c r="AN1136" s="10"/>
      <c r="AO1136" s="10"/>
    </row>
    <row r="1137" spans="1:41">
      <c r="A1137" s="8">
        <v>1135</v>
      </c>
      <c r="B1137" s="8">
        <v>8381</v>
      </c>
      <c r="C1137" s="8" t="s">
        <v>1329</v>
      </c>
      <c r="D1137" s="8" t="s">
        <v>99</v>
      </c>
      <c r="E1137" s="2" t="str">
        <f>"502.96"</f>
        <v>502.96</v>
      </c>
      <c r="F1137" s="9" t="s">
        <v>11</v>
      </c>
      <c r="G1137" s="9">
        <v>2017</v>
      </c>
      <c r="H1137" s="10" t="str">
        <f>"462.96"</f>
        <v>462.96</v>
      </c>
      <c r="I1137" s="10"/>
      <c r="J1137" s="10"/>
      <c r="K1137" s="10"/>
      <c r="L1137" s="10"/>
      <c r="M1137" s="10"/>
      <c r="N1137" s="10"/>
      <c r="O1137" s="10"/>
      <c r="P1137" s="10"/>
      <c r="Q1137" s="10"/>
      <c r="R1137" s="10"/>
      <c r="S1137" s="10"/>
      <c r="T1137" s="10"/>
      <c r="U1137" s="10"/>
      <c r="V1137" s="10"/>
      <c r="W1137" s="10"/>
      <c r="X1137" s="10"/>
      <c r="Y1137" s="10"/>
      <c r="Z1137" s="10"/>
      <c r="AA1137" s="10"/>
      <c r="AB1137" s="10"/>
      <c r="AC1137" s="10"/>
      <c r="AD1137" s="10"/>
      <c r="AE1137" s="10"/>
      <c r="AF1137" s="10"/>
      <c r="AG1137" s="10"/>
      <c r="AH1137" s="10"/>
      <c r="AI1137" s="10"/>
      <c r="AJ1137" s="10"/>
      <c r="AK1137" s="10"/>
      <c r="AL1137" s="10"/>
      <c r="AM1137" s="10"/>
      <c r="AN1137" s="10"/>
      <c r="AO1137" s="10"/>
    </row>
    <row r="1138" spans="1:41">
      <c r="A1138" s="8">
        <v>1136</v>
      </c>
      <c r="B1138" s="8">
        <v>7587</v>
      </c>
      <c r="C1138" s="8" t="s">
        <v>1330</v>
      </c>
      <c r="D1138" s="8" t="s">
        <v>254</v>
      </c>
      <c r="E1138" s="2" t="str">
        <f>"506.71"</f>
        <v>506.71</v>
      </c>
      <c r="F1138" s="9" t="s">
        <v>11</v>
      </c>
      <c r="G1138" s="9">
        <v>2017</v>
      </c>
      <c r="H1138" s="10" t="str">
        <f>"466.71"</f>
        <v>466.71</v>
      </c>
      <c r="I1138" s="10"/>
      <c r="J1138" s="10"/>
      <c r="K1138" s="10"/>
      <c r="L1138" s="10"/>
      <c r="M1138" s="10"/>
      <c r="N1138" s="10"/>
      <c r="O1138" s="10"/>
      <c r="P1138" s="10"/>
      <c r="Q1138" s="10"/>
      <c r="R1138" s="10"/>
      <c r="S1138" s="10"/>
      <c r="T1138" s="10"/>
      <c r="U1138" s="10"/>
      <c r="V1138" s="10"/>
      <c r="W1138" s="10"/>
      <c r="X1138" s="10"/>
      <c r="Y1138" s="10"/>
      <c r="Z1138" s="10"/>
      <c r="AA1138" s="10"/>
      <c r="AB1138" s="10"/>
      <c r="AC1138" s="10"/>
      <c r="AD1138" s="10"/>
      <c r="AE1138" s="10"/>
      <c r="AF1138" s="10"/>
      <c r="AG1138" s="10"/>
      <c r="AH1138" s="10"/>
      <c r="AI1138" s="10"/>
      <c r="AJ1138" s="10"/>
      <c r="AK1138" s="10"/>
      <c r="AL1138" s="10"/>
      <c r="AM1138" s="10"/>
      <c r="AN1138" s="10"/>
      <c r="AO1138" s="10"/>
    </row>
    <row r="1139" spans="1:41">
      <c r="A1139" s="8">
        <v>1137</v>
      </c>
      <c r="B1139" s="8">
        <v>10795</v>
      </c>
      <c r="C1139" s="8" t="s">
        <v>1331</v>
      </c>
      <c r="D1139" s="8" t="s">
        <v>19</v>
      </c>
      <c r="E1139" s="2" t="str">
        <f>"506.79"</f>
        <v>506.79</v>
      </c>
      <c r="F1139" s="9" t="s">
        <v>9</v>
      </c>
      <c r="G1139" s="9">
        <v>2017</v>
      </c>
      <c r="H1139" s="10" t="str">
        <f>"715.02"</f>
        <v>715.02</v>
      </c>
      <c r="I1139" s="10"/>
      <c r="J1139" s="10"/>
      <c r="K1139" s="10"/>
      <c r="L1139" s="10"/>
      <c r="M1139" s="10"/>
      <c r="N1139" s="10"/>
      <c r="O1139" s="10"/>
      <c r="P1139" s="10"/>
      <c r="Q1139" s="10"/>
      <c r="R1139" s="10"/>
      <c r="S1139" s="10"/>
      <c r="T1139" s="10"/>
      <c r="U1139" s="10"/>
      <c r="V1139" s="10"/>
      <c r="W1139" s="10"/>
      <c r="X1139" s="10"/>
      <c r="Y1139" s="10"/>
      <c r="Z1139" s="10"/>
      <c r="AA1139" s="10"/>
      <c r="AB1139" s="10" t="str">
        <f>"466.79"</f>
        <v>466.79</v>
      </c>
      <c r="AC1139" s="10"/>
      <c r="AD1139" s="10"/>
      <c r="AE1139" s="10"/>
      <c r="AF1139" s="10"/>
      <c r="AG1139" s="10"/>
      <c r="AH1139" s="10"/>
      <c r="AI1139" s="10"/>
      <c r="AJ1139" s="10"/>
      <c r="AK1139" s="10"/>
      <c r="AL1139" s="10"/>
      <c r="AM1139" s="10"/>
      <c r="AN1139" s="10"/>
      <c r="AO1139" s="10"/>
    </row>
    <row r="1140" spans="1:41">
      <c r="A1140" s="8">
        <v>1138</v>
      </c>
      <c r="B1140" s="8">
        <v>9982</v>
      </c>
      <c r="C1140" s="8" t="s">
        <v>1332</v>
      </c>
      <c r="D1140" s="8" t="s">
        <v>12</v>
      </c>
      <c r="E1140" s="2" t="str">
        <f>"508.28"</f>
        <v>508.28</v>
      </c>
      <c r="F1140" s="9" t="s">
        <v>11</v>
      </c>
      <c r="G1140" s="9">
        <v>2017</v>
      </c>
      <c r="H1140" s="10" t="str">
        <f>"468.28"</f>
        <v>468.28</v>
      </c>
      <c r="I1140" s="10"/>
      <c r="J1140" s="10"/>
      <c r="K1140" s="10"/>
      <c r="L1140" s="10"/>
      <c r="M1140" s="10"/>
      <c r="N1140" s="10"/>
      <c r="O1140" s="10"/>
      <c r="P1140" s="10"/>
      <c r="Q1140" s="10"/>
      <c r="R1140" s="10"/>
      <c r="S1140" s="10"/>
      <c r="T1140" s="10"/>
      <c r="U1140" s="10"/>
      <c r="V1140" s="10"/>
      <c r="W1140" s="10"/>
      <c r="X1140" s="10"/>
      <c r="Y1140" s="10"/>
      <c r="Z1140" s="10"/>
      <c r="AA1140" s="10"/>
      <c r="AB1140" s="10"/>
      <c r="AC1140" s="10"/>
      <c r="AD1140" s="10"/>
      <c r="AE1140" s="10"/>
      <c r="AF1140" s="10"/>
      <c r="AG1140" s="10"/>
      <c r="AH1140" s="10"/>
      <c r="AI1140" s="10"/>
      <c r="AJ1140" s="10"/>
      <c r="AK1140" s="10"/>
      <c r="AL1140" s="10"/>
      <c r="AM1140" s="10"/>
      <c r="AN1140" s="10"/>
      <c r="AO1140" s="10"/>
    </row>
    <row r="1141" spans="1:41">
      <c r="A1141" s="8">
        <v>1139</v>
      </c>
      <c r="B1141" s="8">
        <v>11030</v>
      </c>
      <c r="C1141" s="8" t="s">
        <v>1333</v>
      </c>
      <c r="D1141" s="8" t="s">
        <v>10</v>
      </c>
      <c r="E1141" s="2" t="str">
        <f>"508.64"</f>
        <v>508.64</v>
      </c>
      <c r="F1141" s="9"/>
      <c r="G1141" s="9">
        <v>2017</v>
      </c>
      <c r="H1141" s="10" t="str">
        <f>"607.85"</f>
        <v>607.85</v>
      </c>
      <c r="I1141" s="10"/>
      <c r="J1141" s="10"/>
      <c r="K1141" s="10"/>
      <c r="L1141" s="10"/>
      <c r="M1141" s="10"/>
      <c r="N1141" s="10"/>
      <c r="O1141" s="10"/>
      <c r="P1141" s="10"/>
      <c r="Q1141" s="10" t="str">
        <f>"596.85"</f>
        <v>596.85</v>
      </c>
      <c r="R1141" s="10"/>
      <c r="S1141" s="10"/>
      <c r="T1141" s="10"/>
      <c r="U1141" s="10"/>
      <c r="V1141" s="10"/>
      <c r="W1141" s="10"/>
      <c r="X1141" s="10"/>
      <c r="Y1141" s="10"/>
      <c r="Z1141" s="10"/>
      <c r="AA1141" s="10"/>
      <c r="AB1141" s="10"/>
      <c r="AC1141" s="10"/>
      <c r="AD1141" s="10"/>
      <c r="AE1141" s="10" t="str">
        <f>"420.43"</f>
        <v>420.43</v>
      </c>
      <c r="AF1141" s="10"/>
      <c r="AG1141" s="10"/>
      <c r="AH1141" s="10"/>
      <c r="AI1141" s="10"/>
      <c r="AJ1141" s="10"/>
      <c r="AK1141" s="10"/>
      <c r="AL1141" s="10"/>
      <c r="AM1141" s="10"/>
      <c r="AN1141" s="10"/>
      <c r="AO1141" s="10"/>
    </row>
    <row r="1142" spans="1:41">
      <c r="A1142" s="8">
        <v>1140</v>
      </c>
      <c r="B1142" s="8">
        <v>10417</v>
      </c>
      <c r="C1142" s="8" t="s">
        <v>1334</v>
      </c>
      <c r="D1142" s="8" t="s">
        <v>19</v>
      </c>
      <c r="E1142" s="2" t="str">
        <f>"509.76"</f>
        <v>509.76</v>
      </c>
      <c r="F1142" s="9" t="s">
        <v>9</v>
      </c>
      <c r="G1142" s="9">
        <v>2017</v>
      </c>
      <c r="H1142" s="10" t="str">
        <f>"588.41"</f>
        <v>588.41</v>
      </c>
      <c r="I1142" s="10"/>
      <c r="J1142" s="10"/>
      <c r="K1142" s="10"/>
      <c r="L1142" s="10"/>
      <c r="M1142" s="10"/>
      <c r="N1142" s="10"/>
      <c r="O1142" s="10"/>
      <c r="P1142" s="10"/>
      <c r="Q1142" s="10"/>
      <c r="R1142" s="10"/>
      <c r="S1142" s="10"/>
      <c r="T1142" s="10"/>
      <c r="U1142" s="10"/>
      <c r="V1142" s="10"/>
      <c r="W1142" s="10"/>
      <c r="X1142" s="10"/>
      <c r="Y1142" s="10"/>
      <c r="Z1142" s="10"/>
      <c r="AA1142" s="10"/>
      <c r="AB1142" s="10" t="str">
        <f>"469.76"</f>
        <v>469.76</v>
      </c>
      <c r="AC1142" s="10"/>
      <c r="AD1142" s="10"/>
      <c r="AE1142" s="10"/>
      <c r="AF1142" s="10"/>
      <c r="AG1142" s="10"/>
      <c r="AH1142" s="10"/>
      <c r="AI1142" s="10"/>
      <c r="AJ1142" s="10"/>
      <c r="AK1142" s="10"/>
      <c r="AL1142" s="10"/>
      <c r="AM1142" s="10"/>
      <c r="AN1142" s="10"/>
      <c r="AO1142" s="10"/>
    </row>
    <row r="1143" spans="1:41">
      <c r="A1143" s="8">
        <v>1141</v>
      </c>
      <c r="B1143" s="8">
        <v>11258</v>
      </c>
      <c r="C1143" s="8" t="s">
        <v>1335</v>
      </c>
      <c r="D1143" s="8" t="s">
        <v>10</v>
      </c>
      <c r="E1143" s="2" t="str">
        <f>"510.37"</f>
        <v>510.37</v>
      </c>
      <c r="F1143" s="9"/>
      <c r="G1143" s="9">
        <v>2017</v>
      </c>
      <c r="H1143" s="10"/>
      <c r="I1143" s="10"/>
      <c r="J1143" s="10"/>
      <c r="K1143" s="10"/>
      <c r="L1143" s="10"/>
      <c r="M1143" s="10"/>
      <c r="N1143" s="10"/>
      <c r="O1143" s="10"/>
      <c r="P1143" s="10"/>
      <c r="Q1143" s="10" t="str">
        <f>"636.39"</f>
        <v>636.39</v>
      </c>
      <c r="R1143" s="10"/>
      <c r="S1143" s="10"/>
      <c r="T1143" s="10"/>
      <c r="U1143" s="10"/>
      <c r="V1143" s="10"/>
      <c r="W1143" s="10"/>
      <c r="X1143" s="10"/>
      <c r="Y1143" s="10"/>
      <c r="Z1143" s="10"/>
      <c r="AA1143" s="10"/>
      <c r="AB1143" s="10"/>
      <c r="AC1143" s="10"/>
      <c r="AD1143" s="10"/>
      <c r="AE1143" s="10"/>
      <c r="AF1143" s="10"/>
      <c r="AG1143" s="10"/>
      <c r="AH1143" s="10"/>
      <c r="AI1143" s="10"/>
      <c r="AJ1143" s="10"/>
      <c r="AK1143" s="10"/>
      <c r="AL1143" s="10"/>
      <c r="AM1143" s="10"/>
      <c r="AN1143" s="10" t="str">
        <f>"384.34"</f>
        <v>384.34</v>
      </c>
      <c r="AO1143" s="10"/>
    </row>
    <row r="1144" spans="1:41">
      <c r="A1144" s="8">
        <v>1142</v>
      </c>
      <c r="B1144" s="8">
        <v>10394</v>
      </c>
      <c r="C1144" s="8" t="s">
        <v>1336</v>
      </c>
      <c r="D1144" s="8" t="s">
        <v>19</v>
      </c>
      <c r="E1144" s="2" t="str">
        <f>"512.00"</f>
        <v>512.00</v>
      </c>
      <c r="F1144" s="9"/>
      <c r="G1144" s="9">
        <v>2017</v>
      </c>
      <c r="H1144" s="10" t="str">
        <f>"559.14"</f>
        <v>559.14</v>
      </c>
      <c r="I1144" s="10"/>
      <c r="J1144" s="10"/>
      <c r="K1144" s="10"/>
      <c r="L1144" s="10"/>
      <c r="M1144" s="10"/>
      <c r="N1144" s="10"/>
      <c r="O1144" s="10"/>
      <c r="P1144" s="10"/>
      <c r="Q1144" s="10"/>
      <c r="R1144" s="10"/>
      <c r="S1144" s="10"/>
      <c r="T1144" s="10"/>
      <c r="U1144" s="10"/>
      <c r="V1144" s="10"/>
      <c r="W1144" s="10"/>
      <c r="X1144" s="10"/>
      <c r="Y1144" s="10"/>
      <c r="Z1144" s="10"/>
      <c r="AA1144" s="10"/>
      <c r="AB1144" s="10" t="str">
        <f>"496.12"</f>
        <v>496.12</v>
      </c>
      <c r="AC1144" s="10"/>
      <c r="AD1144" s="10"/>
      <c r="AE1144" s="10"/>
      <c r="AF1144" s="10"/>
      <c r="AG1144" s="10"/>
      <c r="AH1144" s="10"/>
      <c r="AI1144" s="10"/>
      <c r="AJ1144" s="10"/>
      <c r="AK1144" s="10"/>
      <c r="AL1144" s="10"/>
      <c r="AM1144" s="10" t="str">
        <f>"527.88"</f>
        <v>527.88</v>
      </c>
      <c r="AN1144" s="10"/>
      <c r="AO1144" s="10"/>
    </row>
    <row r="1145" spans="1:41">
      <c r="A1145" s="8">
        <v>1143</v>
      </c>
      <c r="B1145" s="8">
        <v>11005</v>
      </c>
      <c r="C1145" s="8" t="s">
        <v>1337</v>
      </c>
      <c r="D1145" s="8" t="s">
        <v>24</v>
      </c>
      <c r="E1145" s="2" t="str">
        <f>"512.07"</f>
        <v>512.07</v>
      </c>
      <c r="F1145" s="9"/>
      <c r="G1145" s="9">
        <v>2017</v>
      </c>
      <c r="H1145" s="10"/>
      <c r="I1145" s="10"/>
      <c r="J1145" s="10"/>
      <c r="K1145" s="10"/>
      <c r="L1145" s="10"/>
      <c r="M1145" s="10"/>
      <c r="N1145" s="10"/>
      <c r="O1145" s="10"/>
      <c r="P1145" s="10"/>
      <c r="Q1145" s="10"/>
      <c r="R1145" s="10"/>
      <c r="S1145" s="10"/>
      <c r="T1145" s="10"/>
      <c r="U1145" s="10" t="str">
        <f>"671.73"</f>
        <v>671.73</v>
      </c>
      <c r="V1145" s="10"/>
      <c r="W1145" s="10" t="str">
        <f>"352.41"</f>
        <v>352.41</v>
      </c>
      <c r="X1145" s="10"/>
      <c r="Y1145" s="10"/>
      <c r="Z1145" s="10"/>
      <c r="AA1145" s="10"/>
      <c r="AB1145" s="10"/>
      <c r="AC1145" s="10"/>
      <c r="AD1145" s="10"/>
      <c r="AE1145" s="10"/>
      <c r="AF1145" s="10"/>
      <c r="AG1145" s="10"/>
      <c r="AH1145" s="10"/>
      <c r="AI1145" s="10"/>
      <c r="AJ1145" s="10"/>
      <c r="AK1145" s="10"/>
      <c r="AL1145" s="10"/>
      <c r="AM1145" s="10"/>
      <c r="AN1145" s="10"/>
      <c r="AO1145" s="10"/>
    </row>
    <row r="1146" spans="1:41">
      <c r="A1146" s="8">
        <v>1144</v>
      </c>
      <c r="B1146" s="8">
        <v>10586</v>
      </c>
      <c r="C1146" s="8" t="s">
        <v>1338</v>
      </c>
      <c r="D1146" s="8" t="s">
        <v>10</v>
      </c>
      <c r="E1146" s="2" t="str">
        <f>"513.42"</f>
        <v>513.42</v>
      </c>
      <c r="F1146" s="9" t="s">
        <v>11</v>
      </c>
      <c r="G1146" s="9">
        <v>2017</v>
      </c>
      <c r="H1146" s="10" t="str">
        <f>"473.42"</f>
        <v>473.42</v>
      </c>
      <c r="I1146" s="10"/>
      <c r="J1146" s="10"/>
      <c r="K1146" s="10"/>
      <c r="L1146" s="10"/>
      <c r="M1146" s="10"/>
      <c r="N1146" s="10"/>
      <c r="O1146" s="10"/>
      <c r="P1146" s="10"/>
      <c r="Q1146" s="10"/>
      <c r="R1146" s="10"/>
      <c r="S1146" s="10"/>
      <c r="T1146" s="10"/>
      <c r="U1146" s="10"/>
      <c r="V1146" s="10"/>
      <c r="W1146" s="10"/>
      <c r="X1146" s="10"/>
      <c r="Y1146" s="10"/>
      <c r="Z1146" s="10"/>
      <c r="AA1146" s="10"/>
      <c r="AB1146" s="10"/>
      <c r="AC1146" s="10"/>
      <c r="AD1146" s="10"/>
      <c r="AE1146" s="10"/>
      <c r="AF1146" s="10"/>
      <c r="AG1146" s="10"/>
      <c r="AH1146" s="10"/>
      <c r="AI1146" s="10"/>
      <c r="AJ1146" s="10"/>
      <c r="AK1146" s="10"/>
      <c r="AL1146" s="10"/>
      <c r="AM1146" s="10"/>
      <c r="AN1146" s="10"/>
      <c r="AO1146" s="10"/>
    </row>
    <row r="1147" spans="1:41">
      <c r="A1147" s="8">
        <v>1145</v>
      </c>
      <c r="B1147" s="8">
        <v>2266</v>
      </c>
      <c r="C1147" s="8" t="s">
        <v>1339</v>
      </c>
      <c r="D1147" s="8" t="s">
        <v>10</v>
      </c>
      <c r="E1147" s="2" t="str">
        <f>"513.50"</f>
        <v>513.50</v>
      </c>
      <c r="F1147" s="9" t="s">
        <v>11</v>
      </c>
      <c r="G1147" s="9">
        <v>2017</v>
      </c>
      <c r="H1147" s="10" t="str">
        <f>"473.50"</f>
        <v>473.50</v>
      </c>
      <c r="I1147" s="10"/>
      <c r="J1147" s="10"/>
      <c r="K1147" s="10"/>
      <c r="L1147" s="10"/>
      <c r="M1147" s="10"/>
      <c r="N1147" s="10"/>
      <c r="O1147" s="10"/>
      <c r="P1147" s="10"/>
      <c r="Q1147" s="10"/>
      <c r="R1147" s="10"/>
      <c r="S1147" s="10"/>
      <c r="T1147" s="10"/>
      <c r="U1147" s="10"/>
      <c r="V1147" s="10"/>
      <c r="W1147" s="10"/>
      <c r="X1147" s="10"/>
      <c r="Y1147" s="10"/>
      <c r="Z1147" s="10"/>
      <c r="AA1147" s="10"/>
      <c r="AB1147" s="10"/>
      <c r="AC1147" s="10"/>
      <c r="AD1147" s="10"/>
      <c r="AE1147" s="10"/>
      <c r="AF1147" s="10"/>
      <c r="AG1147" s="10"/>
      <c r="AH1147" s="10"/>
      <c r="AI1147" s="10"/>
      <c r="AJ1147" s="10"/>
      <c r="AK1147" s="10"/>
      <c r="AL1147" s="10"/>
      <c r="AM1147" s="10"/>
      <c r="AN1147" s="10"/>
      <c r="AO1147" s="10"/>
    </row>
    <row r="1148" spans="1:41">
      <c r="A1148" s="8">
        <v>1146</v>
      </c>
      <c r="B1148" s="8">
        <v>10646</v>
      </c>
      <c r="C1148" s="8" t="s">
        <v>1340</v>
      </c>
      <c r="D1148" s="8" t="s">
        <v>10</v>
      </c>
      <c r="E1148" s="2" t="str">
        <f>"513.79"</f>
        <v>513.79</v>
      </c>
      <c r="F1148" s="9" t="s">
        <v>11</v>
      </c>
      <c r="G1148" s="9">
        <v>2017</v>
      </c>
      <c r="H1148" s="10" t="str">
        <f>"473.79"</f>
        <v>473.79</v>
      </c>
      <c r="I1148" s="10"/>
      <c r="J1148" s="10"/>
      <c r="K1148" s="10"/>
      <c r="L1148" s="10"/>
      <c r="M1148" s="10"/>
      <c r="N1148" s="10"/>
      <c r="O1148" s="10"/>
      <c r="P1148" s="10"/>
      <c r="Q1148" s="10"/>
      <c r="R1148" s="10"/>
      <c r="S1148" s="10"/>
      <c r="T1148" s="10"/>
      <c r="U1148" s="10"/>
      <c r="V1148" s="10"/>
      <c r="W1148" s="10"/>
      <c r="X1148" s="10"/>
      <c r="Y1148" s="10"/>
      <c r="Z1148" s="10"/>
      <c r="AA1148" s="10"/>
      <c r="AB1148" s="10"/>
      <c r="AC1148" s="10"/>
      <c r="AD1148" s="10"/>
      <c r="AE1148" s="10"/>
      <c r="AF1148" s="10"/>
      <c r="AG1148" s="10"/>
      <c r="AH1148" s="10"/>
      <c r="AI1148" s="10"/>
      <c r="AJ1148" s="10"/>
      <c r="AK1148" s="10"/>
      <c r="AL1148" s="10"/>
      <c r="AM1148" s="10"/>
      <c r="AN1148" s="10"/>
      <c r="AO1148" s="10"/>
    </row>
    <row r="1149" spans="1:41">
      <c r="A1149" s="8">
        <v>1147</v>
      </c>
      <c r="B1149" s="8">
        <v>10393</v>
      </c>
      <c r="C1149" s="8" t="s">
        <v>1341</v>
      </c>
      <c r="D1149" s="8" t="s">
        <v>19</v>
      </c>
      <c r="E1149" s="2" t="str">
        <f>"514.98"</f>
        <v>514.98</v>
      </c>
      <c r="F1149" s="9"/>
      <c r="G1149" s="9">
        <v>2017</v>
      </c>
      <c r="H1149" s="10" t="str">
        <f>"848.49"</f>
        <v>848.49</v>
      </c>
      <c r="I1149" s="10"/>
      <c r="J1149" s="10"/>
      <c r="K1149" s="10"/>
      <c r="L1149" s="10"/>
      <c r="M1149" s="10"/>
      <c r="N1149" s="10"/>
      <c r="O1149" s="10"/>
      <c r="P1149" s="10"/>
      <c r="Q1149" s="10"/>
      <c r="R1149" s="10"/>
      <c r="S1149" s="10"/>
      <c r="T1149" s="10"/>
      <c r="U1149" s="10"/>
      <c r="V1149" s="10"/>
      <c r="W1149" s="10"/>
      <c r="X1149" s="10"/>
      <c r="Y1149" s="10"/>
      <c r="Z1149" s="10"/>
      <c r="AA1149" s="10"/>
      <c r="AB1149" s="10" t="str">
        <f>"579.66"</f>
        <v>579.66</v>
      </c>
      <c r="AC1149" s="10"/>
      <c r="AD1149" s="10"/>
      <c r="AE1149" s="10"/>
      <c r="AF1149" s="10"/>
      <c r="AG1149" s="10"/>
      <c r="AH1149" s="10"/>
      <c r="AI1149" s="10"/>
      <c r="AJ1149" s="10"/>
      <c r="AK1149" s="10"/>
      <c r="AL1149" s="10"/>
      <c r="AM1149" s="10" t="str">
        <f>"450.30"</f>
        <v>450.30</v>
      </c>
      <c r="AN1149" s="10"/>
      <c r="AO1149" s="10"/>
    </row>
    <row r="1150" spans="1:41">
      <c r="A1150" s="8">
        <v>1148</v>
      </c>
      <c r="B1150" s="8">
        <v>10293</v>
      </c>
      <c r="C1150" s="8" t="s">
        <v>1342</v>
      </c>
      <c r="D1150" s="8" t="s">
        <v>50</v>
      </c>
      <c r="E1150" s="2" t="str">
        <f>"518.74"</f>
        <v>518.74</v>
      </c>
      <c r="F1150" s="9" t="s">
        <v>9</v>
      </c>
      <c r="G1150" s="9">
        <v>2017</v>
      </c>
      <c r="H1150" s="10" t="str">
        <f>"608.79"</f>
        <v>608.79</v>
      </c>
      <c r="I1150" s="10"/>
      <c r="J1150" s="10"/>
      <c r="K1150" s="10"/>
      <c r="L1150" s="10"/>
      <c r="M1150" s="10"/>
      <c r="N1150" s="10"/>
      <c r="O1150" s="10"/>
      <c r="P1150" s="10"/>
      <c r="Q1150" s="10"/>
      <c r="R1150" s="10"/>
      <c r="S1150" s="10"/>
      <c r="T1150" s="10"/>
      <c r="U1150" s="10" t="str">
        <f>"478.74"</f>
        <v>478.74</v>
      </c>
      <c r="V1150" s="10"/>
      <c r="W1150" s="10"/>
      <c r="X1150" s="10"/>
      <c r="Y1150" s="10"/>
      <c r="Z1150" s="10"/>
      <c r="AA1150" s="10"/>
      <c r="AB1150" s="10"/>
      <c r="AC1150" s="10"/>
      <c r="AD1150" s="10"/>
      <c r="AE1150" s="10"/>
      <c r="AF1150" s="10"/>
      <c r="AG1150" s="10"/>
      <c r="AH1150" s="10"/>
      <c r="AI1150" s="10"/>
      <c r="AJ1150" s="10"/>
      <c r="AK1150" s="10"/>
      <c r="AL1150" s="10"/>
      <c r="AM1150" s="10"/>
      <c r="AN1150" s="10"/>
      <c r="AO1150" s="10"/>
    </row>
    <row r="1151" spans="1:41">
      <c r="A1151" s="8">
        <v>1149</v>
      </c>
      <c r="B1151" s="8">
        <v>10857</v>
      </c>
      <c r="C1151" s="8" t="s">
        <v>1343</v>
      </c>
      <c r="D1151" s="8" t="s">
        <v>10</v>
      </c>
      <c r="E1151" s="2" t="str">
        <f>"521.36"</f>
        <v>521.36</v>
      </c>
      <c r="F1151" s="9" t="s">
        <v>11</v>
      </c>
      <c r="G1151" s="9">
        <v>2017</v>
      </c>
      <c r="H1151" s="10" t="str">
        <f>"481.36"</f>
        <v>481.36</v>
      </c>
      <c r="I1151" s="10"/>
      <c r="J1151" s="10"/>
      <c r="K1151" s="10"/>
      <c r="L1151" s="10"/>
      <c r="M1151" s="10"/>
      <c r="N1151" s="10"/>
      <c r="O1151" s="10"/>
      <c r="P1151" s="10"/>
      <c r="Q1151" s="10"/>
      <c r="R1151" s="10"/>
      <c r="S1151" s="10"/>
      <c r="T1151" s="10"/>
      <c r="U1151" s="10"/>
      <c r="V1151" s="10"/>
      <c r="W1151" s="10"/>
      <c r="X1151" s="10"/>
      <c r="Y1151" s="10"/>
      <c r="Z1151" s="10"/>
      <c r="AA1151" s="10"/>
      <c r="AB1151" s="10"/>
      <c r="AC1151" s="10"/>
      <c r="AD1151" s="10"/>
      <c r="AE1151" s="10"/>
      <c r="AF1151" s="10"/>
      <c r="AG1151" s="10"/>
      <c r="AH1151" s="10"/>
      <c r="AI1151" s="10"/>
      <c r="AJ1151" s="10"/>
      <c r="AK1151" s="10"/>
      <c r="AL1151" s="10"/>
      <c r="AM1151" s="10"/>
      <c r="AN1151" s="10"/>
      <c r="AO1151" s="10"/>
    </row>
    <row r="1152" spans="1:41">
      <c r="A1152" s="8">
        <v>1150</v>
      </c>
      <c r="B1152" s="8">
        <v>10800</v>
      </c>
      <c r="C1152" s="8" t="s">
        <v>1344</v>
      </c>
      <c r="D1152" s="8" t="s">
        <v>19</v>
      </c>
      <c r="E1152" s="2" t="str">
        <f>"521.64"</f>
        <v>521.64</v>
      </c>
      <c r="F1152" s="9" t="s">
        <v>9</v>
      </c>
      <c r="G1152" s="9">
        <v>2017</v>
      </c>
      <c r="H1152" s="10" t="str">
        <f>"501.10"</f>
        <v>501.10</v>
      </c>
      <c r="I1152" s="10"/>
      <c r="J1152" s="10"/>
      <c r="K1152" s="10"/>
      <c r="L1152" s="10"/>
      <c r="M1152" s="10"/>
      <c r="N1152" s="10"/>
      <c r="O1152" s="10"/>
      <c r="P1152" s="10"/>
      <c r="Q1152" s="10"/>
      <c r="R1152" s="10"/>
      <c r="S1152" s="10"/>
      <c r="T1152" s="10"/>
      <c r="U1152" s="10"/>
      <c r="V1152" s="10"/>
      <c r="W1152" s="10"/>
      <c r="X1152" s="10"/>
      <c r="Y1152" s="10"/>
      <c r="Z1152" s="10"/>
      <c r="AA1152" s="10"/>
      <c r="AB1152" s="10" t="str">
        <f>"481.64"</f>
        <v>481.64</v>
      </c>
      <c r="AC1152" s="10"/>
      <c r="AD1152" s="10"/>
      <c r="AE1152" s="10"/>
      <c r="AF1152" s="10"/>
      <c r="AG1152" s="10"/>
      <c r="AH1152" s="10"/>
      <c r="AI1152" s="10"/>
      <c r="AJ1152" s="10"/>
      <c r="AK1152" s="10"/>
      <c r="AL1152" s="10"/>
      <c r="AM1152" s="10"/>
      <c r="AN1152" s="10"/>
      <c r="AO1152" s="10"/>
    </row>
    <row r="1153" spans="1:41">
      <c r="A1153" s="8">
        <v>1151</v>
      </c>
      <c r="B1153" s="8">
        <v>10476</v>
      </c>
      <c r="C1153" s="8" t="s">
        <v>1345</v>
      </c>
      <c r="D1153" s="8" t="s">
        <v>19</v>
      </c>
      <c r="E1153" s="2" t="str">
        <f>"522.00"</f>
        <v>522.00</v>
      </c>
      <c r="F1153" s="9"/>
      <c r="G1153" s="9">
        <v>2017</v>
      </c>
      <c r="H1153" s="10" t="str">
        <f>"790.44"</f>
        <v>790.44</v>
      </c>
      <c r="I1153" s="10"/>
      <c r="J1153" s="10"/>
      <c r="K1153" s="10"/>
      <c r="L1153" s="10"/>
      <c r="M1153" s="10"/>
      <c r="N1153" s="10"/>
      <c r="O1153" s="10"/>
      <c r="P1153" s="10"/>
      <c r="Q1153" s="10"/>
      <c r="R1153" s="10"/>
      <c r="S1153" s="10"/>
      <c r="T1153" s="10"/>
      <c r="U1153" s="10"/>
      <c r="V1153" s="10"/>
      <c r="W1153" s="10"/>
      <c r="X1153" s="10"/>
      <c r="Y1153" s="10"/>
      <c r="Z1153" s="10"/>
      <c r="AA1153" s="10"/>
      <c r="AB1153" s="10" t="str">
        <f>"568.34"</f>
        <v>568.34</v>
      </c>
      <c r="AC1153" s="10"/>
      <c r="AD1153" s="10"/>
      <c r="AE1153" s="10"/>
      <c r="AF1153" s="10"/>
      <c r="AG1153" s="10"/>
      <c r="AH1153" s="10"/>
      <c r="AI1153" s="10"/>
      <c r="AJ1153" s="10"/>
      <c r="AK1153" s="10"/>
      <c r="AL1153" s="10"/>
      <c r="AM1153" s="10"/>
      <c r="AN1153" s="10" t="str">
        <f>"475.66"</f>
        <v>475.66</v>
      </c>
      <c r="AO1153" s="10"/>
    </row>
    <row r="1154" spans="1:41">
      <c r="A1154" s="8">
        <v>1152</v>
      </c>
      <c r="B1154" s="8">
        <v>10469</v>
      </c>
      <c r="C1154" s="8" t="s">
        <v>1346</v>
      </c>
      <c r="D1154" s="8" t="s">
        <v>19</v>
      </c>
      <c r="E1154" s="2" t="str">
        <f>"522.38"</f>
        <v>522.38</v>
      </c>
      <c r="F1154" s="9" t="s">
        <v>9</v>
      </c>
      <c r="G1154" s="9">
        <v>2017</v>
      </c>
      <c r="H1154" s="10" t="str">
        <f>"643.26"</f>
        <v>643.26</v>
      </c>
      <c r="I1154" s="10"/>
      <c r="J1154" s="10"/>
      <c r="K1154" s="10"/>
      <c r="L1154" s="10"/>
      <c r="M1154" s="10"/>
      <c r="N1154" s="10"/>
      <c r="O1154" s="10"/>
      <c r="P1154" s="10"/>
      <c r="Q1154" s="10"/>
      <c r="R1154" s="10"/>
      <c r="S1154" s="10"/>
      <c r="T1154" s="10"/>
      <c r="U1154" s="10"/>
      <c r="V1154" s="10"/>
      <c r="W1154" s="10"/>
      <c r="X1154" s="10"/>
      <c r="Y1154" s="10"/>
      <c r="Z1154" s="10"/>
      <c r="AA1154" s="10"/>
      <c r="AB1154" s="10" t="str">
        <f>"482.38"</f>
        <v>482.38</v>
      </c>
      <c r="AC1154" s="10"/>
      <c r="AD1154" s="10"/>
      <c r="AE1154" s="10"/>
      <c r="AF1154" s="10"/>
      <c r="AG1154" s="10"/>
      <c r="AH1154" s="10"/>
      <c r="AI1154" s="10"/>
      <c r="AJ1154" s="10"/>
      <c r="AK1154" s="10"/>
      <c r="AL1154" s="10"/>
      <c r="AM1154" s="10"/>
      <c r="AN1154" s="10"/>
      <c r="AO1154" s="10"/>
    </row>
    <row r="1155" spans="1:41">
      <c r="A1155" s="8">
        <v>1153</v>
      </c>
      <c r="B1155" s="8">
        <v>10725</v>
      </c>
      <c r="C1155" s="8" t="s">
        <v>1347</v>
      </c>
      <c r="D1155" s="8" t="s">
        <v>19</v>
      </c>
      <c r="E1155" s="2" t="str">
        <f>"522.57"</f>
        <v>522.57</v>
      </c>
      <c r="F1155" s="9"/>
      <c r="G1155" s="9">
        <v>2017</v>
      </c>
      <c r="H1155" s="10" t="str">
        <f>"628.55"</f>
        <v>628.55</v>
      </c>
      <c r="I1155" s="10"/>
      <c r="J1155" s="10"/>
      <c r="K1155" s="10"/>
      <c r="L1155" s="10"/>
      <c r="M1155" s="10"/>
      <c r="N1155" s="10"/>
      <c r="O1155" s="10"/>
      <c r="P1155" s="10"/>
      <c r="Q1155" s="10"/>
      <c r="R1155" s="10"/>
      <c r="S1155" s="10"/>
      <c r="T1155" s="10"/>
      <c r="U1155" s="10"/>
      <c r="V1155" s="10"/>
      <c r="W1155" s="10"/>
      <c r="X1155" s="10"/>
      <c r="Y1155" s="10"/>
      <c r="Z1155" s="10"/>
      <c r="AA1155" s="10"/>
      <c r="AB1155" s="10" t="str">
        <f>"593.03"</f>
        <v>593.03</v>
      </c>
      <c r="AC1155" s="10"/>
      <c r="AD1155" s="10"/>
      <c r="AE1155" s="10"/>
      <c r="AF1155" s="10"/>
      <c r="AG1155" s="10"/>
      <c r="AH1155" s="10"/>
      <c r="AI1155" s="10"/>
      <c r="AJ1155" s="10"/>
      <c r="AK1155" s="10"/>
      <c r="AL1155" s="10"/>
      <c r="AM1155" s="10" t="str">
        <f>"452.10"</f>
        <v>452.10</v>
      </c>
      <c r="AN1155" s="10"/>
      <c r="AO1155" s="10"/>
    </row>
    <row r="1156" spans="1:41">
      <c r="A1156" s="8">
        <v>1154</v>
      </c>
      <c r="B1156" s="8">
        <v>10731</v>
      </c>
      <c r="C1156" s="8" t="s">
        <v>1348</v>
      </c>
      <c r="D1156" s="8" t="s">
        <v>19</v>
      </c>
      <c r="E1156" s="2" t="str">
        <f>"523.60"</f>
        <v>523.60</v>
      </c>
      <c r="F1156" s="9"/>
      <c r="G1156" s="9">
        <v>2017</v>
      </c>
      <c r="H1156" s="10" t="str">
        <f>"638.43"</f>
        <v>638.43</v>
      </c>
      <c r="I1156" s="10"/>
      <c r="J1156" s="10"/>
      <c r="K1156" s="10"/>
      <c r="L1156" s="10"/>
      <c r="M1156" s="10"/>
      <c r="N1156" s="10"/>
      <c r="O1156" s="10"/>
      <c r="P1156" s="10"/>
      <c r="Q1156" s="10"/>
      <c r="R1156" s="10"/>
      <c r="S1156" s="10"/>
      <c r="T1156" s="10"/>
      <c r="U1156" s="10"/>
      <c r="V1156" s="10"/>
      <c r="W1156" s="10"/>
      <c r="X1156" s="10"/>
      <c r="Y1156" s="10"/>
      <c r="Z1156" s="10"/>
      <c r="AA1156" s="10"/>
      <c r="AB1156" s="10" t="str">
        <f>"526.94"</f>
        <v>526.94</v>
      </c>
      <c r="AC1156" s="10"/>
      <c r="AD1156" s="10"/>
      <c r="AE1156" s="10"/>
      <c r="AF1156" s="10"/>
      <c r="AG1156" s="10"/>
      <c r="AH1156" s="10"/>
      <c r="AI1156" s="10"/>
      <c r="AJ1156" s="10"/>
      <c r="AK1156" s="10"/>
      <c r="AL1156" s="10"/>
      <c r="AM1156" s="10" t="str">
        <f>"520.26"</f>
        <v>520.26</v>
      </c>
      <c r="AN1156" s="10"/>
      <c r="AO1156" s="10"/>
    </row>
    <row r="1157" spans="1:41">
      <c r="A1157" s="8">
        <v>1155</v>
      </c>
      <c r="B1157" s="8">
        <v>11113</v>
      </c>
      <c r="C1157" s="8" t="s">
        <v>1349</v>
      </c>
      <c r="D1157" s="8" t="s">
        <v>14</v>
      </c>
      <c r="E1157" s="2" t="str">
        <f>"524.27"</f>
        <v>524.27</v>
      </c>
      <c r="F1157" s="9"/>
      <c r="G1157" s="9">
        <v>2017</v>
      </c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  <c r="R1157" s="10"/>
      <c r="S1157" s="10"/>
      <c r="T1157" s="10"/>
      <c r="U1157" s="10" t="str">
        <f>"625.52"</f>
        <v>625.52</v>
      </c>
      <c r="V1157" s="10"/>
      <c r="W1157" s="10" t="str">
        <f>"423.02"</f>
        <v>423.02</v>
      </c>
      <c r="X1157" s="10"/>
      <c r="Y1157" s="10"/>
      <c r="Z1157" s="10"/>
      <c r="AA1157" s="10"/>
      <c r="AB1157" s="10"/>
      <c r="AC1157" s="10"/>
      <c r="AD1157" s="10"/>
      <c r="AE1157" s="10"/>
      <c r="AF1157" s="10"/>
      <c r="AG1157" s="10"/>
      <c r="AH1157" s="10"/>
      <c r="AI1157" s="10"/>
      <c r="AJ1157" s="10"/>
      <c r="AK1157" s="10"/>
      <c r="AL1157" s="10"/>
      <c r="AM1157" s="10"/>
      <c r="AN1157" s="10"/>
      <c r="AO1157" s="10"/>
    </row>
    <row r="1158" spans="1:41">
      <c r="A1158" s="8">
        <v>1156</v>
      </c>
      <c r="B1158" s="8">
        <v>11410</v>
      </c>
      <c r="C1158" s="8" t="s">
        <v>1350</v>
      </c>
      <c r="D1158" s="8" t="s">
        <v>94</v>
      </c>
      <c r="E1158" s="2" t="str">
        <f>"527.58"</f>
        <v>527.58</v>
      </c>
      <c r="F1158" s="9"/>
      <c r="G1158" s="9">
        <v>2017</v>
      </c>
      <c r="H1158" s="10"/>
      <c r="I1158" s="10"/>
      <c r="J1158" s="10"/>
      <c r="K1158" s="10"/>
      <c r="L1158" s="10"/>
      <c r="M1158" s="10"/>
      <c r="N1158" s="10"/>
      <c r="O1158" s="10"/>
      <c r="P1158" s="10"/>
      <c r="Q1158" s="10"/>
      <c r="R1158" s="10"/>
      <c r="S1158" s="10"/>
      <c r="T1158" s="10"/>
      <c r="U1158" s="10" t="str">
        <f>"590.11"</f>
        <v>590.11</v>
      </c>
      <c r="V1158" s="10"/>
      <c r="W1158" s="10" t="str">
        <f>"465.05"</f>
        <v>465.05</v>
      </c>
      <c r="X1158" s="10"/>
      <c r="Y1158" s="10"/>
      <c r="Z1158" s="10"/>
      <c r="AA1158" s="10"/>
      <c r="AB1158" s="10"/>
      <c r="AC1158" s="10"/>
      <c r="AD1158" s="10"/>
      <c r="AE1158" s="10"/>
      <c r="AF1158" s="10"/>
      <c r="AG1158" s="10"/>
      <c r="AH1158" s="10"/>
      <c r="AI1158" s="10"/>
      <c r="AJ1158" s="10"/>
      <c r="AK1158" s="10"/>
      <c r="AL1158" s="10"/>
      <c r="AM1158" s="10"/>
      <c r="AN1158" s="10"/>
      <c r="AO1158" s="10"/>
    </row>
    <row r="1159" spans="1:41">
      <c r="A1159" s="8">
        <v>1157</v>
      </c>
      <c r="B1159" s="8">
        <v>11409</v>
      </c>
      <c r="C1159" s="8" t="s">
        <v>1351</v>
      </c>
      <c r="D1159" s="8" t="s">
        <v>14</v>
      </c>
      <c r="E1159" s="2" t="str">
        <f>"527.95"</f>
        <v>527.95</v>
      </c>
      <c r="F1159" s="9" t="s">
        <v>9</v>
      </c>
      <c r="G1159" s="9">
        <v>2017</v>
      </c>
      <c r="H1159" s="10"/>
      <c r="I1159" s="10"/>
      <c r="J1159" s="10"/>
      <c r="K1159" s="10"/>
      <c r="L1159" s="10"/>
      <c r="M1159" s="10"/>
      <c r="N1159" s="10"/>
      <c r="O1159" s="10"/>
      <c r="P1159" s="10"/>
      <c r="Q1159" s="10"/>
      <c r="R1159" s="10"/>
      <c r="S1159" s="10"/>
      <c r="T1159" s="10"/>
      <c r="U1159" s="10"/>
      <c r="V1159" s="10"/>
      <c r="W1159" s="10"/>
      <c r="X1159" s="10"/>
      <c r="Y1159" s="10"/>
      <c r="Z1159" s="10"/>
      <c r="AA1159" s="10"/>
      <c r="AB1159" s="10"/>
      <c r="AC1159" s="10"/>
      <c r="AD1159" s="10"/>
      <c r="AE1159" s="10"/>
      <c r="AF1159" s="10"/>
      <c r="AG1159" s="10"/>
      <c r="AH1159" s="10" t="str">
        <f>"487.95"</f>
        <v>487.95</v>
      </c>
      <c r="AI1159" s="10"/>
      <c r="AJ1159" s="10"/>
      <c r="AK1159" s="10"/>
      <c r="AL1159" s="10"/>
      <c r="AM1159" s="10"/>
      <c r="AN1159" s="10"/>
      <c r="AO1159" s="10"/>
    </row>
    <row r="1160" spans="1:41">
      <c r="A1160" s="8">
        <v>1158</v>
      </c>
      <c r="B1160" s="8">
        <v>8354</v>
      </c>
      <c r="C1160" s="8" t="s">
        <v>1352</v>
      </c>
      <c r="D1160" s="8" t="s">
        <v>180</v>
      </c>
      <c r="E1160" s="2" t="str">
        <f>"528.23"</f>
        <v>528.23</v>
      </c>
      <c r="F1160" s="9" t="s">
        <v>11</v>
      </c>
      <c r="G1160" s="9">
        <v>2017</v>
      </c>
      <c r="H1160" s="10" t="str">
        <f>"488.23"</f>
        <v>488.23</v>
      </c>
      <c r="I1160" s="10"/>
      <c r="J1160" s="10"/>
      <c r="K1160" s="10"/>
      <c r="L1160" s="10"/>
      <c r="M1160" s="10"/>
      <c r="N1160" s="10"/>
      <c r="O1160" s="10"/>
      <c r="P1160" s="10"/>
      <c r="Q1160" s="10"/>
      <c r="R1160" s="10"/>
      <c r="S1160" s="10"/>
      <c r="T1160" s="10"/>
      <c r="U1160" s="10"/>
      <c r="V1160" s="10"/>
      <c r="W1160" s="10"/>
      <c r="X1160" s="10"/>
      <c r="Y1160" s="10"/>
      <c r="Z1160" s="10"/>
      <c r="AA1160" s="10"/>
      <c r="AB1160" s="10"/>
      <c r="AC1160" s="10"/>
      <c r="AD1160" s="10"/>
      <c r="AE1160" s="10"/>
      <c r="AF1160" s="10"/>
      <c r="AG1160" s="10"/>
      <c r="AH1160" s="10"/>
      <c r="AI1160" s="10"/>
      <c r="AJ1160" s="10"/>
      <c r="AK1160" s="10"/>
      <c r="AL1160" s="10"/>
      <c r="AM1160" s="10"/>
      <c r="AN1160" s="10"/>
      <c r="AO1160" s="10"/>
    </row>
    <row r="1161" spans="1:41">
      <c r="A1161" s="8">
        <v>1159</v>
      </c>
      <c r="B1161" s="8">
        <v>10732</v>
      </c>
      <c r="C1161" s="8" t="s">
        <v>1353</v>
      </c>
      <c r="D1161" s="8" t="s">
        <v>10</v>
      </c>
      <c r="E1161" s="2" t="str">
        <f>"531.07"</f>
        <v>531.07</v>
      </c>
      <c r="F1161" s="9"/>
      <c r="G1161" s="9">
        <v>2017</v>
      </c>
      <c r="H1161" s="10" t="str">
        <f>"1077.49"</f>
        <v>1077.49</v>
      </c>
      <c r="I1161" s="10"/>
      <c r="J1161" s="10"/>
      <c r="K1161" s="10"/>
      <c r="L1161" s="10"/>
      <c r="M1161" s="10"/>
      <c r="N1161" s="10"/>
      <c r="O1161" s="10"/>
      <c r="P1161" s="10"/>
      <c r="Q1161" s="10" t="str">
        <f>"542.30"</f>
        <v>542.30</v>
      </c>
      <c r="R1161" s="10"/>
      <c r="S1161" s="10"/>
      <c r="T1161" s="10"/>
      <c r="U1161" s="10"/>
      <c r="V1161" s="10"/>
      <c r="W1161" s="10"/>
      <c r="X1161" s="10"/>
      <c r="Y1161" s="10"/>
      <c r="Z1161" s="10"/>
      <c r="AA1161" s="10"/>
      <c r="AB1161" s="10"/>
      <c r="AC1161" s="10"/>
      <c r="AD1161" s="10"/>
      <c r="AE1161" s="10" t="str">
        <f>"519.84"</f>
        <v>519.84</v>
      </c>
      <c r="AF1161" s="10"/>
      <c r="AG1161" s="10"/>
      <c r="AH1161" s="10"/>
      <c r="AI1161" s="10"/>
      <c r="AJ1161" s="10"/>
      <c r="AK1161" s="10"/>
      <c r="AL1161" s="10"/>
      <c r="AM1161" s="10"/>
      <c r="AN1161" s="10" t="str">
        <f>"586.83"</f>
        <v>586.83</v>
      </c>
      <c r="AO1161" s="10"/>
    </row>
    <row r="1162" spans="1:41">
      <c r="A1162" s="8">
        <v>1160</v>
      </c>
      <c r="B1162" s="8">
        <v>10956</v>
      </c>
      <c r="C1162" s="8" t="s">
        <v>1354</v>
      </c>
      <c r="D1162" s="8" t="s">
        <v>19</v>
      </c>
      <c r="E1162" s="2" t="str">
        <f>"532.04"</f>
        <v>532.04</v>
      </c>
      <c r="F1162" s="9" t="s">
        <v>9</v>
      </c>
      <c r="G1162" s="9">
        <v>2017</v>
      </c>
      <c r="H1162" s="10" t="str">
        <f>"782.96"</f>
        <v>782.96</v>
      </c>
      <c r="I1162" s="10"/>
      <c r="J1162" s="10"/>
      <c r="K1162" s="10"/>
      <c r="L1162" s="10"/>
      <c r="M1162" s="10"/>
      <c r="N1162" s="10"/>
      <c r="O1162" s="10"/>
      <c r="P1162" s="10"/>
      <c r="Q1162" s="10"/>
      <c r="R1162" s="10"/>
      <c r="S1162" s="10"/>
      <c r="T1162" s="10"/>
      <c r="U1162" s="10"/>
      <c r="V1162" s="10"/>
      <c r="W1162" s="10"/>
      <c r="X1162" s="10"/>
      <c r="Y1162" s="10"/>
      <c r="Z1162" s="10"/>
      <c r="AA1162" s="10"/>
      <c r="AB1162" s="10" t="str">
        <f>"492.04"</f>
        <v>492.04</v>
      </c>
      <c r="AC1162" s="10"/>
      <c r="AD1162" s="10"/>
      <c r="AE1162" s="10"/>
      <c r="AF1162" s="10"/>
      <c r="AG1162" s="10"/>
      <c r="AH1162" s="10"/>
      <c r="AI1162" s="10"/>
      <c r="AJ1162" s="10"/>
      <c r="AK1162" s="10"/>
      <c r="AL1162" s="10"/>
      <c r="AM1162" s="10"/>
      <c r="AN1162" s="10"/>
      <c r="AO1162" s="10"/>
    </row>
    <row r="1163" spans="1:41">
      <c r="A1163" s="8">
        <v>1161</v>
      </c>
      <c r="B1163" s="8">
        <v>2185</v>
      </c>
      <c r="C1163" s="8" t="s">
        <v>1355</v>
      </c>
      <c r="D1163" s="8" t="s">
        <v>88</v>
      </c>
      <c r="E1163" s="2" t="str">
        <f>"533.24"</f>
        <v>533.24</v>
      </c>
      <c r="F1163" s="9" t="s">
        <v>11</v>
      </c>
      <c r="G1163" s="9">
        <v>2017</v>
      </c>
      <c r="H1163" s="10" t="str">
        <f>"493.24"</f>
        <v>493.24</v>
      </c>
      <c r="I1163" s="10"/>
      <c r="J1163" s="10"/>
      <c r="K1163" s="10"/>
      <c r="L1163" s="10"/>
      <c r="M1163" s="10"/>
      <c r="N1163" s="10"/>
      <c r="O1163" s="10"/>
      <c r="P1163" s="10"/>
      <c r="Q1163" s="10"/>
      <c r="R1163" s="10"/>
      <c r="S1163" s="10"/>
      <c r="T1163" s="10"/>
      <c r="U1163" s="10"/>
      <c r="V1163" s="10"/>
      <c r="W1163" s="10"/>
      <c r="X1163" s="10"/>
      <c r="Y1163" s="10"/>
      <c r="Z1163" s="10"/>
      <c r="AA1163" s="10"/>
      <c r="AB1163" s="10"/>
      <c r="AC1163" s="10"/>
      <c r="AD1163" s="10"/>
      <c r="AE1163" s="10"/>
      <c r="AF1163" s="10"/>
      <c r="AG1163" s="10"/>
      <c r="AH1163" s="10"/>
      <c r="AI1163" s="10"/>
      <c r="AJ1163" s="10"/>
      <c r="AK1163" s="10"/>
      <c r="AL1163" s="10"/>
      <c r="AM1163" s="10"/>
      <c r="AN1163" s="10"/>
      <c r="AO1163" s="10"/>
    </row>
    <row r="1164" spans="1:41">
      <c r="A1164" s="8">
        <v>1162</v>
      </c>
      <c r="B1164" s="8">
        <v>11091</v>
      </c>
      <c r="C1164" s="8" t="s">
        <v>1356</v>
      </c>
      <c r="D1164" s="8" t="s">
        <v>12</v>
      </c>
      <c r="E1164" s="2" t="str">
        <f>"535.70"</f>
        <v>535.70</v>
      </c>
      <c r="F1164" s="9"/>
      <c r="G1164" s="9">
        <v>2017</v>
      </c>
      <c r="H1164" s="10" t="str">
        <f>"496.09"</f>
        <v>496.09</v>
      </c>
      <c r="I1164" s="10"/>
      <c r="J1164" s="10"/>
      <c r="K1164" s="10"/>
      <c r="L1164" s="10"/>
      <c r="M1164" s="10"/>
      <c r="N1164" s="10"/>
      <c r="O1164" s="10"/>
      <c r="P1164" s="10"/>
      <c r="Q1164" s="10"/>
      <c r="R1164" s="10"/>
      <c r="S1164" s="10"/>
      <c r="T1164" s="10"/>
      <c r="U1164" s="10" t="str">
        <f>"597.55"</f>
        <v>597.55</v>
      </c>
      <c r="V1164" s="10"/>
      <c r="W1164" s="10" t="str">
        <f>"473.84"</f>
        <v>473.84</v>
      </c>
      <c r="X1164" s="10"/>
      <c r="Y1164" s="10"/>
      <c r="Z1164" s="10"/>
      <c r="AA1164" s="10"/>
      <c r="AB1164" s="10"/>
      <c r="AC1164" s="10"/>
      <c r="AD1164" s="10"/>
      <c r="AE1164" s="10"/>
      <c r="AF1164" s="10"/>
      <c r="AG1164" s="10"/>
      <c r="AH1164" s="10"/>
      <c r="AI1164" s="10"/>
      <c r="AJ1164" s="10"/>
      <c r="AK1164" s="10"/>
      <c r="AL1164" s="10"/>
      <c r="AM1164" s="10"/>
      <c r="AN1164" s="10"/>
      <c r="AO1164" s="10"/>
    </row>
    <row r="1165" spans="1:41">
      <c r="A1165" s="8">
        <v>1163</v>
      </c>
      <c r="B1165" s="8">
        <v>11299</v>
      </c>
      <c r="C1165" s="8" t="s">
        <v>1357</v>
      </c>
      <c r="D1165" s="8" t="s">
        <v>10</v>
      </c>
      <c r="E1165" s="2" t="str">
        <f>"538.16"</f>
        <v>538.16</v>
      </c>
      <c r="F1165" s="9" t="s">
        <v>9</v>
      </c>
      <c r="G1165" s="9">
        <v>2017</v>
      </c>
      <c r="H1165" s="10"/>
      <c r="I1165" s="10"/>
      <c r="J1165" s="10"/>
      <c r="K1165" s="10"/>
      <c r="L1165" s="10"/>
      <c r="M1165" s="10"/>
      <c r="N1165" s="10"/>
      <c r="O1165" s="10"/>
      <c r="P1165" s="10"/>
      <c r="Q1165" s="10"/>
      <c r="R1165" s="10"/>
      <c r="S1165" s="10"/>
      <c r="T1165" s="10"/>
      <c r="U1165" s="10"/>
      <c r="V1165" s="10"/>
      <c r="W1165" s="10"/>
      <c r="X1165" s="10"/>
      <c r="Y1165" s="10"/>
      <c r="Z1165" s="10"/>
      <c r="AA1165" s="10"/>
      <c r="AB1165" s="10"/>
      <c r="AC1165" s="10"/>
      <c r="AD1165" s="10"/>
      <c r="AE1165" s="10"/>
      <c r="AF1165" s="10"/>
      <c r="AG1165" s="10"/>
      <c r="AH1165" s="10"/>
      <c r="AI1165" s="10"/>
      <c r="AJ1165" s="10"/>
      <c r="AK1165" s="10"/>
      <c r="AL1165" s="10"/>
      <c r="AM1165" s="10"/>
      <c r="AN1165" s="10" t="str">
        <f>"498.16"</f>
        <v>498.16</v>
      </c>
      <c r="AO1165" s="10"/>
    </row>
    <row r="1166" spans="1:41">
      <c r="A1166" s="8">
        <v>1164</v>
      </c>
      <c r="B1166" s="8">
        <v>11161</v>
      </c>
      <c r="C1166" s="8" t="s">
        <v>1358</v>
      </c>
      <c r="D1166" s="8" t="s">
        <v>19</v>
      </c>
      <c r="E1166" s="2" t="str">
        <f>"538.16"</f>
        <v>538.16</v>
      </c>
      <c r="F1166" s="9" t="s">
        <v>9</v>
      </c>
      <c r="G1166" s="9">
        <v>2017</v>
      </c>
      <c r="H1166" s="10"/>
      <c r="I1166" s="10"/>
      <c r="J1166" s="10"/>
      <c r="K1166" s="10"/>
      <c r="L1166" s="10"/>
      <c r="M1166" s="10"/>
      <c r="N1166" s="10"/>
      <c r="O1166" s="10"/>
      <c r="P1166" s="10"/>
      <c r="Q1166" s="10"/>
      <c r="R1166" s="10"/>
      <c r="S1166" s="10"/>
      <c r="T1166" s="10"/>
      <c r="U1166" s="10"/>
      <c r="V1166" s="10"/>
      <c r="W1166" s="10"/>
      <c r="X1166" s="10"/>
      <c r="Y1166" s="10"/>
      <c r="Z1166" s="10"/>
      <c r="AA1166" s="10"/>
      <c r="AB1166" s="10" t="str">
        <f>"498.16"</f>
        <v>498.16</v>
      </c>
      <c r="AC1166" s="10"/>
      <c r="AD1166" s="10"/>
      <c r="AE1166" s="10"/>
      <c r="AF1166" s="10"/>
      <c r="AG1166" s="10"/>
      <c r="AH1166" s="10"/>
      <c r="AI1166" s="10"/>
      <c r="AJ1166" s="10"/>
      <c r="AK1166" s="10"/>
      <c r="AL1166" s="10"/>
      <c r="AM1166" s="10"/>
      <c r="AN1166" s="10"/>
      <c r="AO1166" s="10"/>
    </row>
    <row r="1167" spans="1:41">
      <c r="A1167" s="8">
        <v>1165</v>
      </c>
      <c r="B1167" s="8">
        <v>10793</v>
      </c>
      <c r="C1167" s="8" t="s">
        <v>1359</v>
      </c>
      <c r="D1167" s="8" t="s">
        <v>19</v>
      </c>
      <c r="E1167" s="2" t="str">
        <f>"540.58"</f>
        <v>540.58</v>
      </c>
      <c r="F1167" s="9" t="s">
        <v>9</v>
      </c>
      <c r="G1167" s="9">
        <v>2017</v>
      </c>
      <c r="H1167" s="10" t="str">
        <f>"738.79"</f>
        <v>738.79</v>
      </c>
      <c r="I1167" s="10"/>
      <c r="J1167" s="10"/>
      <c r="K1167" s="10"/>
      <c r="L1167" s="10"/>
      <c r="M1167" s="10"/>
      <c r="N1167" s="10"/>
      <c r="O1167" s="10"/>
      <c r="P1167" s="10"/>
      <c r="Q1167" s="10"/>
      <c r="R1167" s="10"/>
      <c r="S1167" s="10"/>
      <c r="T1167" s="10"/>
      <c r="U1167" s="10"/>
      <c r="V1167" s="10"/>
      <c r="W1167" s="10"/>
      <c r="X1167" s="10"/>
      <c r="Y1167" s="10"/>
      <c r="Z1167" s="10"/>
      <c r="AA1167" s="10"/>
      <c r="AB1167" s="10" t="str">
        <f>"500.58"</f>
        <v>500.58</v>
      </c>
      <c r="AC1167" s="10"/>
      <c r="AD1167" s="10"/>
      <c r="AE1167" s="10"/>
      <c r="AF1167" s="10"/>
      <c r="AG1167" s="10"/>
      <c r="AH1167" s="10"/>
      <c r="AI1167" s="10"/>
      <c r="AJ1167" s="10"/>
      <c r="AK1167" s="10"/>
      <c r="AL1167" s="10"/>
      <c r="AM1167" s="10"/>
      <c r="AN1167" s="10"/>
      <c r="AO1167" s="10"/>
    </row>
    <row r="1168" spans="1:41">
      <c r="A1168" s="8">
        <v>1166</v>
      </c>
      <c r="B1168" s="8">
        <v>11392</v>
      </c>
      <c r="C1168" s="8" t="s">
        <v>1360</v>
      </c>
      <c r="D1168" s="8" t="s">
        <v>12</v>
      </c>
      <c r="E1168" s="2" t="str">
        <f>"541.94"</f>
        <v>541.94</v>
      </c>
      <c r="F1168" s="9" t="s">
        <v>9</v>
      </c>
      <c r="G1168" s="9">
        <v>2017</v>
      </c>
      <c r="H1168" s="10"/>
      <c r="I1168" s="10"/>
      <c r="J1168" s="10"/>
      <c r="K1168" s="10"/>
      <c r="L1168" s="10"/>
      <c r="M1168" s="10"/>
      <c r="N1168" s="10"/>
      <c r="O1168" s="10"/>
      <c r="P1168" s="10"/>
      <c r="Q1168" s="10"/>
      <c r="R1168" s="10"/>
      <c r="S1168" s="10"/>
      <c r="T1168" s="10"/>
      <c r="U1168" s="10"/>
      <c r="V1168" s="10"/>
      <c r="W1168" s="10" t="str">
        <f>"501.94"</f>
        <v>501.94</v>
      </c>
      <c r="X1168" s="10"/>
      <c r="Y1168" s="10"/>
      <c r="Z1168" s="10"/>
      <c r="AA1168" s="10"/>
      <c r="AB1168" s="10"/>
      <c r="AC1168" s="10"/>
      <c r="AD1168" s="10"/>
      <c r="AE1168" s="10"/>
      <c r="AF1168" s="10"/>
      <c r="AG1168" s="10"/>
      <c r="AH1168" s="10"/>
      <c r="AI1168" s="10"/>
      <c r="AJ1168" s="10"/>
      <c r="AK1168" s="10"/>
      <c r="AL1168" s="10"/>
      <c r="AM1168" s="10"/>
      <c r="AN1168" s="10"/>
      <c r="AO1168" s="10"/>
    </row>
    <row r="1169" spans="1:41">
      <c r="A1169" s="8">
        <v>1167</v>
      </c>
      <c r="B1169" s="8">
        <v>10788</v>
      </c>
      <c r="C1169" s="8" t="s">
        <v>1361</v>
      </c>
      <c r="D1169" s="8" t="s">
        <v>19</v>
      </c>
      <c r="E1169" s="2" t="str">
        <f>"544.27"</f>
        <v>544.27</v>
      </c>
      <c r="F1169" s="9"/>
      <c r="G1169" s="9">
        <v>2017</v>
      </c>
      <c r="H1169" s="10" t="str">
        <f>"928.88"</f>
        <v>928.88</v>
      </c>
      <c r="I1169" s="10"/>
      <c r="J1169" s="10"/>
      <c r="K1169" s="10"/>
      <c r="L1169" s="10"/>
      <c r="M1169" s="10"/>
      <c r="N1169" s="10"/>
      <c r="O1169" s="10"/>
      <c r="P1169" s="10"/>
      <c r="Q1169" s="10"/>
      <c r="R1169" s="10"/>
      <c r="S1169" s="10"/>
      <c r="T1169" s="10"/>
      <c r="U1169" s="10"/>
      <c r="V1169" s="10"/>
      <c r="W1169" s="10"/>
      <c r="X1169" s="10"/>
      <c r="Y1169" s="10" t="str">
        <f>"612.65"</f>
        <v>612.65</v>
      </c>
      <c r="Z1169" s="10"/>
      <c r="AA1169" s="10"/>
      <c r="AB1169" s="10" t="str">
        <f>"475.89"</f>
        <v>475.89</v>
      </c>
      <c r="AC1169" s="10"/>
      <c r="AD1169" s="10"/>
      <c r="AE1169" s="10"/>
      <c r="AF1169" s="10"/>
      <c r="AG1169" s="10"/>
      <c r="AH1169" s="10"/>
      <c r="AI1169" s="10"/>
      <c r="AJ1169" s="10"/>
      <c r="AK1169" s="10"/>
      <c r="AL1169" s="10"/>
      <c r="AM1169" s="10"/>
      <c r="AN1169" s="10"/>
      <c r="AO1169" s="10"/>
    </row>
    <row r="1170" spans="1:41">
      <c r="A1170" s="8">
        <v>1168</v>
      </c>
      <c r="B1170" s="8">
        <v>11020</v>
      </c>
      <c r="C1170" s="8" t="s">
        <v>1362</v>
      </c>
      <c r="D1170" s="8" t="s">
        <v>26</v>
      </c>
      <c r="E1170" s="2" t="str">
        <f>"545.83"</f>
        <v>545.83</v>
      </c>
      <c r="F1170" s="9" t="s">
        <v>9</v>
      </c>
      <c r="G1170" s="9">
        <v>2017</v>
      </c>
      <c r="H1170" s="10"/>
      <c r="I1170" s="10"/>
      <c r="J1170" s="10"/>
      <c r="K1170" s="10"/>
      <c r="L1170" s="10"/>
      <c r="M1170" s="10"/>
      <c r="N1170" s="10"/>
      <c r="O1170" s="10"/>
      <c r="P1170" s="10"/>
      <c r="Q1170" s="10"/>
      <c r="R1170" s="10"/>
      <c r="S1170" s="10"/>
      <c r="T1170" s="10"/>
      <c r="U1170" s="10" t="str">
        <f>"505.83"</f>
        <v>505.83</v>
      </c>
      <c r="V1170" s="10"/>
      <c r="W1170" s="10"/>
      <c r="X1170" s="10"/>
      <c r="Y1170" s="10"/>
      <c r="Z1170" s="10"/>
      <c r="AA1170" s="10"/>
      <c r="AB1170" s="10"/>
      <c r="AC1170" s="10"/>
      <c r="AD1170" s="10"/>
      <c r="AE1170" s="10"/>
      <c r="AF1170" s="10"/>
      <c r="AG1170" s="10"/>
      <c r="AH1170" s="10"/>
      <c r="AI1170" s="10"/>
      <c r="AJ1170" s="10"/>
      <c r="AK1170" s="10"/>
      <c r="AL1170" s="10"/>
      <c r="AM1170" s="10"/>
      <c r="AN1170" s="10"/>
      <c r="AO1170" s="10"/>
    </row>
    <row r="1171" spans="1:41">
      <c r="A1171" s="8">
        <v>1169</v>
      </c>
      <c r="B1171" s="8">
        <v>10120</v>
      </c>
      <c r="C1171" s="8" t="s">
        <v>1363</v>
      </c>
      <c r="D1171" s="8" t="s">
        <v>10</v>
      </c>
      <c r="E1171" s="2" t="str">
        <f>"551.26"</f>
        <v>551.26</v>
      </c>
      <c r="F1171" s="9"/>
      <c r="G1171" s="9">
        <v>2017</v>
      </c>
      <c r="H1171" s="10" t="str">
        <f>"512.35"</f>
        <v>512.35</v>
      </c>
      <c r="I1171" s="10"/>
      <c r="J1171" s="10"/>
      <c r="K1171" s="10"/>
      <c r="L1171" s="10"/>
      <c r="M1171" s="10"/>
      <c r="N1171" s="10"/>
      <c r="O1171" s="10"/>
      <c r="P1171" s="10"/>
      <c r="Q1171" s="10" t="str">
        <f>"622.75"</f>
        <v>622.75</v>
      </c>
      <c r="R1171" s="10"/>
      <c r="S1171" s="10"/>
      <c r="T1171" s="10"/>
      <c r="U1171" s="10"/>
      <c r="V1171" s="10"/>
      <c r="W1171" s="10"/>
      <c r="X1171" s="10"/>
      <c r="Y1171" s="10"/>
      <c r="Z1171" s="10"/>
      <c r="AA1171" s="10"/>
      <c r="AB1171" s="10"/>
      <c r="AC1171" s="10"/>
      <c r="AD1171" s="10"/>
      <c r="AE1171" s="10" t="str">
        <f>"479.77"</f>
        <v>479.77</v>
      </c>
      <c r="AF1171" s="10"/>
      <c r="AG1171" s="10"/>
      <c r="AH1171" s="10"/>
      <c r="AI1171" s="10"/>
      <c r="AJ1171" s="10"/>
      <c r="AK1171" s="10"/>
      <c r="AL1171" s="10"/>
      <c r="AM1171" s="10"/>
      <c r="AN1171" s="10"/>
      <c r="AO1171" s="10"/>
    </row>
    <row r="1172" spans="1:41">
      <c r="A1172" s="8">
        <v>1170</v>
      </c>
      <c r="B1172" s="8">
        <v>7620</v>
      </c>
      <c r="C1172" s="8" t="s">
        <v>1364</v>
      </c>
      <c r="D1172" s="8" t="s">
        <v>52</v>
      </c>
      <c r="E1172" s="2" t="str">
        <f>"553.19"</f>
        <v>553.19</v>
      </c>
      <c r="F1172" s="9" t="s">
        <v>11</v>
      </c>
      <c r="G1172" s="9">
        <v>2017</v>
      </c>
      <c r="H1172" s="10" t="str">
        <f>"513.19"</f>
        <v>513.19</v>
      </c>
      <c r="I1172" s="10"/>
      <c r="J1172" s="10"/>
      <c r="K1172" s="10"/>
      <c r="L1172" s="10"/>
      <c r="M1172" s="10"/>
      <c r="N1172" s="10"/>
      <c r="O1172" s="10"/>
      <c r="P1172" s="10"/>
      <c r="Q1172" s="10"/>
      <c r="R1172" s="10"/>
      <c r="S1172" s="10"/>
      <c r="T1172" s="10"/>
      <c r="U1172" s="10"/>
      <c r="V1172" s="10"/>
      <c r="W1172" s="10"/>
      <c r="X1172" s="10"/>
      <c r="Y1172" s="10"/>
      <c r="Z1172" s="10"/>
      <c r="AA1172" s="10"/>
      <c r="AB1172" s="10"/>
      <c r="AC1172" s="10"/>
      <c r="AD1172" s="10"/>
      <c r="AE1172" s="10"/>
      <c r="AF1172" s="10"/>
      <c r="AG1172" s="10"/>
      <c r="AH1172" s="10"/>
      <c r="AI1172" s="10"/>
      <c r="AJ1172" s="10"/>
      <c r="AK1172" s="10"/>
      <c r="AL1172" s="10"/>
      <c r="AM1172" s="10"/>
      <c r="AN1172" s="10"/>
      <c r="AO1172" s="10"/>
    </row>
    <row r="1173" spans="1:41">
      <c r="A1173" s="8">
        <v>1171</v>
      </c>
      <c r="B1173" s="8">
        <v>11295</v>
      </c>
      <c r="C1173" s="8" t="s">
        <v>1365</v>
      </c>
      <c r="D1173" s="8" t="s">
        <v>10</v>
      </c>
      <c r="E1173" s="2" t="str">
        <f>"555.10"</f>
        <v>555.10</v>
      </c>
      <c r="F1173" s="9" t="s">
        <v>9</v>
      </c>
      <c r="G1173" s="9">
        <v>2017</v>
      </c>
      <c r="H1173" s="10"/>
      <c r="I1173" s="10"/>
      <c r="J1173" s="10"/>
      <c r="K1173" s="10"/>
      <c r="L1173" s="10"/>
      <c r="M1173" s="10"/>
      <c r="N1173" s="10"/>
      <c r="O1173" s="10"/>
      <c r="P1173" s="10"/>
      <c r="Q1173" s="10"/>
      <c r="R1173" s="10"/>
      <c r="S1173" s="10"/>
      <c r="T1173" s="10"/>
      <c r="U1173" s="10"/>
      <c r="V1173" s="10"/>
      <c r="W1173" s="10"/>
      <c r="X1173" s="10"/>
      <c r="Y1173" s="10"/>
      <c r="Z1173" s="10"/>
      <c r="AA1173" s="10"/>
      <c r="AB1173" s="10"/>
      <c r="AC1173" s="10"/>
      <c r="AD1173" s="10"/>
      <c r="AE1173" s="10"/>
      <c r="AF1173" s="10"/>
      <c r="AG1173" s="10"/>
      <c r="AH1173" s="10"/>
      <c r="AI1173" s="10"/>
      <c r="AJ1173" s="10"/>
      <c r="AK1173" s="10"/>
      <c r="AL1173" s="10"/>
      <c r="AM1173" s="10"/>
      <c r="AN1173" s="10" t="str">
        <f>"515.10"</f>
        <v>515.10</v>
      </c>
      <c r="AO1173" s="10"/>
    </row>
    <row r="1174" spans="1:41">
      <c r="A1174" s="8">
        <v>1172</v>
      </c>
      <c r="B1174" s="8">
        <v>10587</v>
      </c>
      <c r="C1174" s="8" t="s">
        <v>1366</v>
      </c>
      <c r="D1174" s="8" t="s">
        <v>10</v>
      </c>
      <c r="E1174" s="2" t="str">
        <f>"555.13"</f>
        <v>555.13</v>
      </c>
      <c r="F1174" s="9"/>
      <c r="G1174" s="9">
        <v>2017</v>
      </c>
      <c r="H1174" s="10" t="str">
        <f>"484.01"</f>
        <v>484.01</v>
      </c>
      <c r="I1174" s="10"/>
      <c r="J1174" s="10"/>
      <c r="K1174" s="10"/>
      <c r="L1174" s="10"/>
      <c r="M1174" s="10"/>
      <c r="N1174" s="10"/>
      <c r="O1174" s="10"/>
      <c r="P1174" s="10"/>
      <c r="Q1174" s="10" t="str">
        <f>"620.03"</f>
        <v>620.03</v>
      </c>
      <c r="R1174" s="10"/>
      <c r="S1174" s="10"/>
      <c r="T1174" s="10"/>
      <c r="U1174" s="10"/>
      <c r="V1174" s="10"/>
      <c r="W1174" s="10"/>
      <c r="X1174" s="10"/>
      <c r="Y1174" s="10"/>
      <c r="Z1174" s="10"/>
      <c r="AA1174" s="10"/>
      <c r="AB1174" s="10"/>
      <c r="AC1174" s="10"/>
      <c r="AD1174" s="10"/>
      <c r="AE1174" s="10" t="str">
        <f>"490.22"</f>
        <v>490.22</v>
      </c>
      <c r="AF1174" s="10"/>
      <c r="AG1174" s="10"/>
      <c r="AH1174" s="10"/>
      <c r="AI1174" s="10"/>
      <c r="AJ1174" s="10"/>
      <c r="AK1174" s="10"/>
      <c r="AL1174" s="10"/>
      <c r="AM1174" s="10"/>
      <c r="AN1174" s="10"/>
      <c r="AO1174" s="10"/>
    </row>
    <row r="1175" spans="1:41">
      <c r="A1175" s="8">
        <v>1173</v>
      </c>
      <c r="B1175" s="8">
        <v>11217</v>
      </c>
      <c r="C1175" s="8" t="s">
        <v>1367</v>
      </c>
      <c r="D1175" s="8" t="s">
        <v>19</v>
      </c>
      <c r="E1175" s="2" t="str">
        <f>"555.80"</f>
        <v>555.80</v>
      </c>
      <c r="F1175" s="9" t="s">
        <v>9</v>
      </c>
      <c r="G1175" s="9">
        <v>2017</v>
      </c>
      <c r="H1175" s="10"/>
      <c r="I1175" s="10"/>
      <c r="J1175" s="10"/>
      <c r="K1175" s="10"/>
      <c r="L1175" s="10"/>
      <c r="M1175" s="10"/>
      <c r="N1175" s="10"/>
      <c r="O1175" s="10"/>
      <c r="P1175" s="10"/>
      <c r="Q1175" s="10"/>
      <c r="R1175" s="10"/>
      <c r="S1175" s="10"/>
      <c r="T1175" s="10"/>
      <c r="U1175" s="10"/>
      <c r="V1175" s="10"/>
      <c r="W1175" s="10"/>
      <c r="X1175" s="10"/>
      <c r="Y1175" s="10"/>
      <c r="Z1175" s="10"/>
      <c r="AA1175" s="10"/>
      <c r="AB1175" s="10" t="str">
        <f>"515.80"</f>
        <v>515.80</v>
      </c>
      <c r="AC1175" s="10"/>
      <c r="AD1175" s="10"/>
      <c r="AE1175" s="10"/>
      <c r="AF1175" s="10"/>
      <c r="AG1175" s="10"/>
      <c r="AH1175" s="10"/>
      <c r="AI1175" s="10"/>
      <c r="AJ1175" s="10"/>
      <c r="AK1175" s="10"/>
      <c r="AL1175" s="10"/>
      <c r="AM1175" s="10"/>
      <c r="AN1175" s="10"/>
      <c r="AO1175" s="10"/>
    </row>
    <row r="1176" spans="1:41">
      <c r="A1176" s="8">
        <v>1174</v>
      </c>
      <c r="B1176" s="8">
        <v>10185</v>
      </c>
      <c r="C1176" s="8" t="s">
        <v>1368</v>
      </c>
      <c r="D1176" s="8" t="s">
        <v>10</v>
      </c>
      <c r="E1176" s="2" t="str">
        <f>"555.85"</f>
        <v>555.85</v>
      </c>
      <c r="F1176" s="9" t="s">
        <v>9</v>
      </c>
      <c r="G1176" s="9">
        <v>2017</v>
      </c>
      <c r="H1176" s="10" t="str">
        <f>"687.59"</f>
        <v>687.59</v>
      </c>
      <c r="I1176" s="10"/>
      <c r="J1176" s="10"/>
      <c r="K1176" s="10"/>
      <c r="L1176" s="10"/>
      <c r="M1176" s="10"/>
      <c r="N1176" s="10"/>
      <c r="O1176" s="10"/>
      <c r="P1176" s="10"/>
      <c r="Q1176" s="10" t="str">
        <f>"515.85"</f>
        <v>515.85</v>
      </c>
      <c r="R1176" s="10"/>
      <c r="S1176" s="10"/>
      <c r="T1176" s="10"/>
      <c r="U1176" s="10"/>
      <c r="V1176" s="10"/>
      <c r="W1176" s="10"/>
      <c r="X1176" s="10"/>
      <c r="Y1176" s="10"/>
      <c r="Z1176" s="10"/>
      <c r="AA1176" s="10"/>
      <c r="AB1176" s="10"/>
      <c r="AC1176" s="10"/>
      <c r="AD1176" s="10"/>
      <c r="AE1176" s="10"/>
      <c r="AF1176" s="10"/>
      <c r="AG1176" s="10"/>
      <c r="AH1176" s="10"/>
      <c r="AI1176" s="10"/>
      <c r="AJ1176" s="10"/>
      <c r="AK1176" s="10"/>
      <c r="AL1176" s="10"/>
      <c r="AM1176" s="10"/>
      <c r="AN1176" s="10"/>
      <c r="AO1176" s="10"/>
    </row>
    <row r="1177" spans="1:41">
      <c r="A1177" s="8">
        <v>1175</v>
      </c>
      <c r="B1177" s="8">
        <v>10635</v>
      </c>
      <c r="C1177" s="8" t="s">
        <v>1369</v>
      </c>
      <c r="D1177" s="8" t="s">
        <v>10</v>
      </c>
      <c r="E1177" s="2" t="str">
        <f>"557.35"</f>
        <v>557.35</v>
      </c>
      <c r="F1177" s="9" t="s">
        <v>11</v>
      </c>
      <c r="G1177" s="9">
        <v>2017</v>
      </c>
      <c r="H1177" s="10" t="str">
        <f>"517.35"</f>
        <v>517.35</v>
      </c>
      <c r="I1177" s="10"/>
      <c r="J1177" s="10"/>
      <c r="K1177" s="10"/>
      <c r="L1177" s="10"/>
      <c r="M1177" s="10"/>
      <c r="N1177" s="10"/>
      <c r="O1177" s="10"/>
      <c r="P1177" s="10"/>
      <c r="Q1177" s="10"/>
      <c r="R1177" s="10"/>
      <c r="S1177" s="10"/>
      <c r="T1177" s="10"/>
      <c r="U1177" s="10"/>
      <c r="V1177" s="10"/>
      <c r="W1177" s="10"/>
      <c r="X1177" s="10"/>
      <c r="Y1177" s="10"/>
      <c r="Z1177" s="10"/>
      <c r="AA1177" s="10"/>
      <c r="AB1177" s="10"/>
      <c r="AC1177" s="10"/>
      <c r="AD1177" s="10"/>
      <c r="AE1177" s="10"/>
      <c r="AF1177" s="10"/>
      <c r="AG1177" s="10"/>
      <c r="AH1177" s="10"/>
      <c r="AI1177" s="10"/>
      <c r="AJ1177" s="10"/>
      <c r="AK1177" s="10"/>
      <c r="AL1177" s="10"/>
      <c r="AM1177" s="10"/>
      <c r="AN1177" s="10"/>
      <c r="AO1177" s="10"/>
    </row>
    <row r="1178" spans="1:41">
      <c r="A1178" s="8">
        <v>1176</v>
      </c>
      <c r="B1178" s="8">
        <v>11209</v>
      </c>
      <c r="C1178" s="8" t="s">
        <v>1370</v>
      </c>
      <c r="D1178" s="8" t="s">
        <v>19</v>
      </c>
      <c r="E1178" s="2" t="str">
        <f>"557.84"</f>
        <v>557.84</v>
      </c>
      <c r="F1178" s="9" t="s">
        <v>9</v>
      </c>
      <c r="G1178" s="9">
        <v>2017</v>
      </c>
      <c r="H1178" s="10"/>
      <c r="I1178" s="10"/>
      <c r="J1178" s="10"/>
      <c r="K1178" s="10"/>
      <c r="L1178" s="10"/>
      <c r="M1178" s="10"/>
      <c r="N1178" s="10"/>
      <c r="O1178" s="10"/>
      <c r="P1178" s="10"/>
      <c r="Q1178" s="10"/>
      <c r="R1178" s="10"/>
      <c r="S1178" s="10"/>
      <c r="T1178" s="10"/>
      <c r="U1178" s="10"/>
      <c r="V1178" s="10"/>
      <c r="W1178" s="10"/>
      <c r="X1178" s="10"/>
      <c r="Y1178" s="10"/>
      <c r="Z1178" s="10"/>
      <c r="AA1178" s="10"/>
      <c r="AB1178" s="10" t="str">
        <f>"517.84"</f>
        <v>517.84</v>
      </c>
      <c r="AC1178" s="10"/>
      <c r="AD1178" s="10"/>
      <c r="AE1178" s="10"/>
      <c r="AF1178" s="10"/>
      <c r="AG1178" s="10"/>
      <c r="AH1178" s="10"/>
      <c r="AI1178" s="10"/>
      <c r="AJ1178" s="10"/>
      <c r="AK1178" s="10"/>
      <c r="AL1178" s="10"/>
      <c r="AM1178" s="10"/>
      <c r="AN1178" s="10"/>
      <c r="AO1178" s="10"/>
    </row>
    <row r="1179" spans="1:41">
      <c r="A1179" s="8">
        <v>1177</v>
      </c>
      <c r="B1179" s="8">
        <v>2168</v>
      </c>
      <c r="C1179" s="8" t="s">
        <v>1371</v>
      </c>
      <c r="D1179" s="8" t="s">
        <v>10</v>
      </c>
      <c r="E1179" s="2" t="str">
        <f>"559.80"</f>
        <v>559.80</v>
      </c>
      <c r="F1179" s="9" t="s">
        <v>9</v>
      </c>
      <c r="G1179" s="9">
        <v>2017</v>
      </c>
      <c r="H1179" s="10" t="str">
        <f>"425.59"</f>
        <v>425.59</v>
      </c>
      <c r="I1179" s="10"/>
      <c r="J1179" s="10"/>
      <c r="K1179" s="10"/>
      <c r="L1179" s="10"/>
      <c r="M1179" s="10"/>
      <c r="N1179" s="10"/>
      <c r="O1179" s="10"/>
      <c r="P1179" s="10"/>
      <c r="Q1179" s="10" t="str">
        <f>"519.80"</f>
        <v>519.80</v>
      </c>
      <c r="R1179" s="10"/>
      <c r="S1179" s="10"/>
      <c r="T1179" s="10"/>
      <c r="U1179" s="10"/>
      <c r="V1179" s="10"/>
      <c r="W1179" s="10"/>
      <c r="X1179" s="10"/>
      <c r="Y1179" s="10"/>
      <c r="Z1179" s="10"/>
      <c r="AA1179" s="10"/>
      <c r="AB1179" s="10"/>
      <c r="AC1179" s="10"/>
      <c r="AD1179" s="10"/>
      <c r="AE1179" s="10"/>
      <c r="AF1179" s="10"/>
      <c r="AG1179" s="10"/>
      <c r="AH1179" s="10"/>
      <c r="AI1179" s="10"/>
      <c r="AJ1179" s="10"/>
      <c r="AK1179" s="10"/>
      <c r="AL1179" s="10"/>
      <c r="AM1179" s="10"/>
      <c r="AN1179" s="10"/>
      <c r="AO1179" s="10"/>
    </row>
    <row r="1180" spans="1:41">
      <c r="A1180" s="8">
        <v>1178</v>
      </c>
      <c r="B1180" s="8">
        <v>10845</v>
      </c>
      <c r="C1180" s="8" t="s">
        <v>1372</v>
      </c>
      <c r="D1180" s="8" t="s">
        <v>10</v>
      </c>
      <c r="E1180" s="2" t="str">
        <f>"562.33"</f>
        <v>562.33</v>
      </c>
      <c r="F1180" s="9" t="s">
        <v>11</v>
      </c>
      <c r="G1180" s="9">
        <v>2017</v>
      </c>
      <c r="H1180" s="10" t="str">
        <f>"522.33"</f>
        <v>522.33</v>
      </c>
      <c r="I1180" s="10"/>
      <c r="J1180" s="10"/>
      <c r="K1180" s="10"/>
      <c r="L1180" s="10"/>
      <c r="M1180" s="10"/>
      <c r="N1180" s="10"/>
      <c r="O1180" s="10"/>
      <c r="P1180" s="10"/>
      <c r="Q1180" s="10"/>
      <c r="R1180" s="10"/>
      <c r="S1180" s="10"/>
      <c r="T1180" s="10"/>
      <c r="U1180" s="10"/>
      <c r="V1180" s="10"/>
      <c r="W1180" s="10"/>
      <c r="X1180" s="10"/>
      <c r="Y1180" s="10"/>
      <c r="Z1180" s="10"/>
      <c r="AA1180" s="10"/>
      <c r="AB1180" s="10"/>
      <c r="AC1180" s="10"/>
      <c r="AD1180" s="10"/>
      <c r="AE1180" s="10"/>
      <c r="AF1180" s="10"/>
      <c r="AG1180" s="10"/>
      <c r="AH1180" s="10"/>
      <c r="AI1180" s="10"/>
      <c r="AJ1180" s="10"/>
      <c r="AK1180" s="10"/>
      <c r="AL1180" s="10"/>
      <c r="AM1180" s="10"/>
      <c r="AN1180" s="10"/>
      <c r="AO1180" s="10"/>
    </row>
    <row r="1181" spans="1:41">
      <c r="A1181" s="8">
        <v>1179</v>
      </c>
      <c r="B1181" s="8">
        <v>11143</v>
      </c>
      <c r="C1181" s="8" t="s">
        <v>1373</v>
      </c>
      <c r="D1181" s="8" t="s">
        <v>19</v>
      </c>
      <c r="E1181" s="2" t="str">
        <f>"567.31"</f>
        <v>567.31</v>
      </c>
      <c r="F1181" s="9" t="s">
        <v>9</v>
      </c>
      <c r="G1181" s="9">
        <v>2017</v>
      </c>
      <c r="H1181" s="10"/>
      <c r="I1181" s="10"/>
      <c r="J1181" s="10"/>
      <c r="K1181" s="10"/>
      <c r="L1181" s="10"/>
      <c r="M1181" s="10"/>
      <c r="N1181" s="10"/>
      <c r="O1181" s="10"/>
      <c r="P1181" s="10"/>
      <c r="Q1181" s="10"/>
      <c r="R1181" s="10"/>
      <c r="S1181" s="10"/>
      <c r="T1181" s="10"/>
      <c r="U1181" s="10"/>
      <c r="V1181" s="10"/>
      <c r="W1181" s="10"/>
      <c r="X1181" s="10"/>
      <c r="Y1181" s="10"/>
      <c r="Z1181" s="10"/>
      <c r="AA1181" s="10"/>
      <c r="AB1181" s="10" t="str">
        <f>"527.31"</f>
        <v>527.31</v>
      </c>
      <c r="AC1181" s="10"/>
      <c r="AD1181" s="10"/>
      <c r="AE1181" s="10"/>
      <c r="AF1181" s="10"/>
      <c r="AG1181" s="10"/>
      <c r="AH1181" s="10"/>
      <c r="AI1181" s="10"/>
      <c r="AJ1181" s="10"/>
      <c r="AK1181" s="10"/>
      <c r="AL1181" s="10"/>
      <c r="AM1181" s="10"/>
      <c r="AN1181" s="10"/>
      <c r="AO1181" s="10"/>
    </row>
    <row r="1182" spans="1:41">
      <c r="A1182" s="8">
        <v>1180</v>
      </c>
      <c r="B1182" s="8">
        <v>2289</v>
      </c>
      <c r="C1182" s="8" t="s">
        <v>1374</v>
      </c>
      <c r="D1182" s="8" t="s">
        <v>10</v>
      </c>
      <c r="E1182" s="2" t="str">
        <f>"568.99"</f>
        <v>568.99</v>
      </c>
      <c r="F1182" s="9" t="s">
        <v>11</v>
      </c>
      <c r="G1182" s="9">
        <v>2017</v>
      </c>
      <c r="H1182" s="10" t="str">
        <f>"528.99"</f>
        <v>528.99</v>
      </c>
      <c r="I1182" s="10"/>
      <c r="J1182" s="10"/>
      <c r="K1182" s="10"/>
      <c r="L1182" s="10"/>
      <c r="M1182" s="10"/>
      <c r="N1182" s="10"/>
      <c r="O1182" s="10"/>
      <c r="P1182" s="10"/>
      <c r="Q1182" s="10"/>
      <c r="R1182" s="10"/>
      <c r="S1182" s="10"/>
      <c r="T1182" s="10"/>
      <c r="U1182" s="10"/>
      <c r="V1182" s="10"/>
      <c r="W1182" s="10"/>
      <c r="X1182" s="10"/>
      <c r="Y1182" s="10"/>
      <c r="Z1182" s="10"/>
      <c r="AA1182" s="10"/>
      <c r="AB1182" s="10"/>
      <c r="AC1182" s="10"/>
      <c r="AD1182" s="10"/>
      <c r="AE1182" s="10"/>
      <c r="AF1182" s="10"/>
      <c r="AG1182" s="10"/>
      <c r="AH1182" s="10"/>
      <c r="AI1182" s="10"/>
      <c r="AJ1182" s="10"/>
      <c r="AK1182" s="10"/>
      <c r="AL1182" s="10"/>
      <c r="AM1182" s="10"/>
      <c r="AN1182" s="10"/>
      <c r="AO1182" s="10"/>
    </row>
    <row r="1183" spans="1:41">
      <c r="A1183" s="8">
        <v>1181</v>
      </c>
      <c r="B1183" s="8">
        <v>10102</v>
      </c>
      <c r="C1183" s="8" t="s">
        <v>1375</v>
      </c>
      <c r="D1183" s="8" t="s">
        <v>21</v>
      </c>
      <c r="E1183" s="2" t="str">
        <f>"569.84"</f>
        <v>569.84</v>
      </c>
      <c r="F1183" s="9"/>
      <c r="G1183" s="9">
        <v>2017</v>
      </c>
      <c r="H1183" s="10" t="str">
        <f>"751.74"</f>
        <v>751.74</v>
      </c>
      <c r="I1183" s="10"/>
      <c r="J1183" s="10"/>
      <c r="K1183" s="10"/>
      <c r="L1183" s="10"/>
      <c r="M1183" s="10"/>
      <c r="N1183" s="10"/>
      <c r="O1183" s="10"/>
      <c r="P1183" s="10"/>
      <c r="Q1183" s="10"/>
      <c r="R1183" s="10"/>
      <c r="S1183" s="10"/>
      <c r="T1183" s="10"/>
      <c r="U1183" s="10"/>
      <c r="V1183" s="10"/>
      <c r="W1183" s="10"/>
      <c r="X1183" s="10"/>
      <c r="Y1183" s="10"/>
      <c r="Z1183" s="10"/>
      <c r="AA1183" s="10"/>
      <c r="AB1183" s="10"/>
      <c r="AC1183" s="10"/>
      <c r="AD1183" s="10"/>
      <c r="AE1183" s="10"/>
      <c r="AF1183" s="10"/>
      <c r="AG1183" s="10" t="str">
        <f>"454.35"</f>
        <v>454.35</v>
      </c>
      <c r="AH1183" s="10" t="str">
        <f>"685.33"</f>
        <v>685.33</v>
      </c>
      <c r="AI1183" s="10"/>
      <c r="AJ1183" s="10"/>
      <c r="AK1183" s="10"/>
      <c r="AL1183" s="10"/>
      <c r="AM1183" s="10"/>
      <c r="AN1183" s="10"/>
      <c r="AO1183" s="10"/>
    </row>
    <row r="1184" spans="1:41">
      <c r="A1184" s="8">
        <v>1182</v>
      </c>
      <c r="B1184" s="8">
        <v>11325</v>
      </c>
      <c r="C1184" s="8" t="s">
        <v>1376</v>
      </c>
      <c r="D1184" s="8" t="s">
        <v>50</v>
      </c>
      <c r="E1184" s="2" t="str">
        <f>"570.30"</f>
        <v>570.30</v>
      </c>
      <c r="F1184" s="9"/>
      <c r="G1184" s="9">
        <v>2017</v>
      </c>
      <c r="H1184" s="10"/>
      <c r="I1184" s="10"/>
      <c r="J1184" s="10"/>
      <c r="K1184" s="10"/>
      <c r="L1184" s="10"/>
      <c r="M1184" s="10"/>
      <c r="N1184" s="10"/>
      <c r="O1184" s="10"/>
      <c r="P1184" s="10"/>
      <c r="Q1184" s="10"/>
      <c r="R1184" s="10"/>
      <c r="S1184" s="10"/>
      <c r="T1184" s="10"/>
      <c r="U1184" s="10" t="str">
        <f>"718.30"</f>
        <v>718.30</v>
      </c>
      <c r="V1184" s="10"/>
      <c r="W1184" s="10" t="str">
        <f>"422.29"</f>
        <v>422.29</v>
      </c>
      <c r="X1184" s="10"/>
      <c r="Y1184" s="10"/>
      <c r="Z1184" s="10"/>
      <c r="AA1184" s="10"/>
      <c r="AB1184" s="10"/>
      <c r="AC1184" s="10"/>
      <c r="AD1184" s="10"/>
      <c r="AE1184" s="10"/>
      <c r="AF1184" s="10"/>
      <c r="AG1184" s="10"/>
      <c r="AH1184" s="10"/>
      <c r="AI1184" s="10"/>
      <c r="AJ1184" s="10"/>
      <c r="AK1184" s="10"/>
      <c r="AL1184" s="10"/>
      <c r="AM1184" s="10"/>
      <c r="AN1184" s="10"/>
      <c r="AO1184" s="10"/>
    </row>
    <row r="1185" spans="1:41">
      <c r="A1185" s="8">
        <v>1183</v>
      </c>
      <c r="B1185" s="8">
        <v>11201</v>
      </c>
      <c r="C1185" s="8" t="s">
        <v>1377</v>
      </c>
      <c r="D1185" s="8" t="s">
        <v>19</v>
      </c>
      <c r="E1185" s="2" t="str">
        <f>"572.51"</f>
        <v>572.51</v>
      </c>
      <c r="F1185" s="9" t="s">
        <v>9</v>
      </c>
      <c r="G1185" s="9">
        <v>2017</v>
      </c>
      <c r="H1185" s="10"/>
      <c r="I1185" s="10"/>
      <c r="J1185" s="10"/>
      <c r="K1185" s="10"/>
      <c r="L1185" s="10"/>
      <c r="M1185" s="10"/>
      <c r="N1185" s="10"/>
      <c r="O1185" s="10"/>
      <c r="P1185" s="10"/>
      <c r="Q1185" s="10"/>
      <c r="R1185" s="10"/>
      <c r="S1185" s="10"/>
      <c r="T1185" s="10"/>
      <c r="U1185" s="10"/>
      <c r="V1185" s="10"/>
      <c r="W1185" s="10"/>
      <c r="X1185" s="10"/>
      <c r="Y1185" s="10"/>
      <c r="Z1185" s="10"/>
      <c r="AA1185" s="10"/>
      <c r="AB1185" s="10" t="str">
        <f>"532.51"</f>
        <v>532.51</v>
      </c>
      <c r="AC1185" s="10"/>
      <c r="AD1185" s="10"/>
      <c r="AE1185" s="10"/>
      <c r="AF1185" s="10"/>
      <c r="AG1185" s="10"/>
      <c r="AH1185" s="10"/>
      <c r="AI1185" s="10"/>
      <c r="AJ1185" s="10"/>
      <c r="AK1185" s="10"/>
      <c r="AL1185" s="10"/>
      <c r="AM1185" s="10"/>
      <c r="AN1185" s="10"/>
      <c r="AO1185" s="10"/>
    </row>
    <row r="1186" spans="1:41">
      <c r="A1186" s="8">
        <v>1184</v>
      </c>
      <c r="B1186" s="8">
        <v>10535</v>
      </c>
      <c r="C1186" s="8" t="s">
        <v>1378</v>
      </c>
      <c r="D1186" s="8" t="s">
        <v>10</v>
      </c>
      <c r="E1186" s="2" t="str">
        <f>"574.23"</f>
        <v>574.23</v>
      </c>
      <c r="F1186" s="9" t="s">
        <v>11</v>
      </c>
      <c r="G1186" s="9">
        <v>2017</v>
      </c>
      <c r="H1186" s="10" t="str">
        <f>"534.23"</f>
        <v>534.23</v>
      </c>
      <c r="I1186" s="10"/>
      <c r="J1186" s="10"/>
      <c r="K1186" s="10"/>
      <c r="L1186" s="10"/>
      <c r="M1186" s="10"/>
      <c r="N1186" s="10"/>
      <c r="O1186" s="10"/>
      <c r="P1186" s="10"/>
      <c r="Q1186" s="10"/>
      <c r="R1186" s="10"/>
      <c r="S1186" s="10"/>
      <c r="T1186" s="10"/>
      <c r="U1186" s="10"/>
      <c r="V1186" s="10"/>
      <c r="W1186" s="10"/>
      <c r="X1186" s="10"/>
      <c r="Y1186" s="10"/>
      <c r="Z1186" s="10"/>
      <c r="AA1186" s="10"/>
      <c r="AB1186" s="10"/>
      <c r="AC1186" s="10"/>
      <c r="AD1186" s="10"/>
      <c r="AE1186" s="10"/>
      <c r="AF1186" s="10"/>
      <c r="AG1186" s="10"/>
      <c r="AH1186" s="10"/>
      <c r="AI1186" s="10"/>
      <c r="AJ1186" s="10"/>
      <c r="AK1186" s="10"/>
      <c r="AL1186" s="10"/>
      <c r="AM1186" s="10"/>
      <c r="AN1186" s="10"/>
      <c r="AO1186" s="10"/>
    </row>
    <row r="1187" spans="1:41">
      <c r="A1187" s="8">
        <v>1185</v>
      </c>
      <c r="B1187" s="8">
        <v>11163</v>
      </c>
      <c r="C1187" s="8" t="s">
        <v>1379</v>
      </c>
      <c r="D1187" s="8" t="s">
        <v>19</v>
      </c>
      <c r="E1187" s="2" t="str">
        <f>"576.98"</f>
        <v>576.98</v>
      </c>
      <c r="F1187" s="9"/>
      <c r="G1187" s="9">
        <v>2017</v>
      </c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  <c r="R1187" s="10"/>
      <c r="S1187" s="10"/>
      <c r="T1187" s="10"/>
      <c r="U1187" s="10"/>
      <c r="V1187" s="10"/>
      <c r="W1187" s="10"/>
      <c r="X1187" s="10"/>
      <c r="Y1187" s="10"/>
      <c r="Z1187" s="10"/>
      <c r="AA1187" s="10"/>
      <c r="AB1187" s="10" t="str">
        <f>"545.50"</f>
        <v>545.50</v>
      </c>
      <c r="AC1187" s="10"/>
      <c r="AD1187" s="10"/>
      <c r="AE1187" s="10"/>
      <c r="AF1187" s="10"/>
      <c r="AG1187" s="10"/>
      <c r="AH1187" s="10"/>
      <c r="AI1187" s="10"/>
      <c r="AJ1187" s="10"/>
      <c r="AK1187" s="10"/>
      <c r="AL1187" s="10"/>
      <c r="AM1187" s="10" t="str">
        <f>"608.45"</f>
        <v>608.45</v>
      </c>
      <c r="AN1187" s="10"/>
      <c r="AO1187" s="10"/>
    </row>
    <row r="1188" spans="1:41">
      <c r="A1188" s="8">
        <v>1186</v>
      </c>
      <c r="B1188" s="8">
        <v>10381</v>
      </c>
      <c r="C1188" s="8" t="s">
        <v>1380</v>
      </c>
      <c r="D1188" s="8" t="s">
        <v>10</v>
      </c>
      <c r="E1188" s="2" t="str">
        <f>"577.03"</f>
        <v>577.03</v>
      </c>
      <c r="F1188" s="9" t="s">
        <v>11</v>
      </c>
      <c r="G1188" s="9">
        <v>2017</v>
      </c>
      <c r="H1188" s="10" t="str">
        <f>"537.03"</f>
        <v>537.03</v>
      </c>
      <c r="I1188" s="10"/>
      <c r="J1188" s="10"/>
      <c r="K1188" s="10"/>
      <c r="L1188" s="10"/>
      <c r="M1188" s="10"/>
      <c r="N1188" s="10"/>
      <c r="O1188" s="10"/>
      <c r="P1188" s="10"/>
      <c r="Q1188" s="10"/>
      <c r="R1188" s="10"/>
      <c r="S1188" s="10"/>
      <c r="T1188" s="10"/>
      <c r="U1188" s="10"/>
      <c r="V1188" s="10"/>
      <c r="W1188" s="10"/>
      <c r="X1188" s="10"/>
      <c r="Y1188" s="10"/>
      <c r="Z1188" s="10"/>
      <c r="AA1188" s="10"/>
      <c r="AB1188" s="10"/>
      <c r="AC1188" s="10"/>
      <c r="AD1188" s="10"/>
      <c r="AE1188" s="10"/>
      <c r="AF1188" s="10"/>
      <c r="AG1188" s="10"/>
      <c r="AH1188" s="10"/>
      <c r="AI1188" s="10"/>
      <c r="AJ1188" s="10"/>
      <c r="AK1188" s="10"/>
      <c r="AL1188" s="10"/>
      <c r="AM1188" s="10"/>
      <c r="AN1188" s="10"/>
      <c r="AO1188" s="10"/>
    </row>
    <row r="1189" spans="1:41">
      <c r="A1189" s="8">
        <v>1187</v>
      </c>
      <c r="B1189" s="8">
        <v>8307</v>
      </c>
      <c r="C1189" s="8" t="s">
        <v>1381</v>
      </c>
      <c r="D1189" s="8" t="s">
        <v>87</v>
      </c>
      <c r="E1189" s="2" t="str">
        <f>"578.68"</f>
        <v>578.68</v>
      </c>
      <c r="F1189" s="9" t="s">
        <v>11</v>
      </c>
      <c r="G1189" s="9">
        <v>2017</v>
      </c>
      <c r="H1189" s="10" t="str">
        <f>"538.68"</f>
        <v>538.68</v>
      </c>
      <c r="I1189" s="10"/>
      <c r="J1189" s="10"/>
      <c r="K1189" s="10"/>
      <c r="L1189" s="10"/>
      <c r="M1189" s="10"/>
      <c r="N1189" s="10"/>
      <c r="O1189" s="10"/>
      <c r="P1189" s="10"/>
      <c r="Q1189" s="10"/>
      <c r="R1189" s="10"/>
      <c r="S1189" s="10"/>
      <c r="T1189" s="10"/>
      <c r="U1189" s="10"/>
      <c r="V1189" s="10"/>
      <c r="W1189" s="10"/>
      <c r="X1189" s="10"/>
      <c r="Y1189" s="10"/>
      <c r="Z1189" s="10"/>
      <c r="AA1189" s="10"/>
      <c r="AB1189" s="10"/>
      <c r="AC1189" s="10"/>
      <c r="AD1189" s="10"/>
      <c r="AE1189" s="10"/>
      <c r="AF1189" s="10"/>
      <c r="AG1189" s="10"/>
      <c r="AH1189" s="10"/>
      <c r="AI1189" s="10"/>
      <c r="AJ1189" s="10"/>
      <c r="AK1189" s="10"/>
      <c r="AL1189" s="10"/>
      <c r="AM1189" s="10"/>
      <c r="AN1189" s="10"/>
      <c r="AO1189" s="10"/>
    </row>
    <row r="1190" spans="1:41">
      <c r="A1190" s="8">
        <v>1188</v>
      </c>
      <c r="B1190" s="8">
        <v>11139</v>
      </c>
      <c r="C1190" s="8" t="s">
        <v>1382</v>
      </c>
      <c r="D1190" s="8" t="s">
        <v>19</v>
      </c>
      <c r="E1190" s="2" t="str">
        <f>"588.51"</f>
        <v>588.51</v>
      </c>
      <c r="F1190" s="9" t="s">
        <v>9</v>
      </c>
      <c r="G1190" s="9">
        <v>2017</v>
      </c>
      <c r="H1190" s="10"/>
      <c r="I1190" s="10"/>
      <c r="J1190" s="10"/>
      <c r="K1190" s="10"/>
      <c r="L1190" s="10"/>
      <c r="M1190" s="10"/>
      <c r="N1190" s="10"/>
      <c r="O1190" s="10"/>
      <c r="P1190" s="10"/>
      <c r="Q1190" s="10"/>
      <c r="R1190" s="10"/>
      <c r="S1190" s="10"/>
      <c r="T1190" s="10"/>
      <c r="U1190" s="10"/>
      <c r="V1190" s="10"/>
      <c r="W1190" s="10"/>
      <c r="X1190" s="10"/>
      <c r="Y1190" s="10"/>
      <c r="Z1190" s="10"/>
      <c r="AA1190" s="10"/>
      <c r="AB1190" s="10"/>
      <c r="AC1190" s="10"/>
      <c r="AD1190" s="10"/>
      <c r="AE1190" s="10"/>
      <c r="AF1190" s="10"/>
      <c r="AG1190" s="10"/>
      <c r="AH1190" s="10"/>
      <c r="AI1190" s="10"/>
      <c r="AJ1190" s="10"/>
      <c r="AK1190" s="10"/>
      <c r="AL1190" s="10"/>
      <c r="AM1190" s="10" t="str">
        <f>"548.51"</f>
        <v>548.51</v>
      </c>
      <c r="AN1190" s="10"/>
      <c r="AO1190" s="10"/>
    </row>
    <row r="1191" spans="1:41">
      <c r="A1191" s="8">
        <v>1189</v>
      </c>
      <c r="B1191" s="8">
        <v>11282</v>
      </c>
      <c r="C1191" s="8" t="s">
        <v>1383</v>
      </c>
      <c r="D1191" s="8" t="s">
        <v>10</v>
      </c>
      <c r="E1191" s="2" t="str">
        <f>"588.65"</f>
        <v>588.65</v>
      </c>
      <c r="F1191" s="9" t="s">
        <v>9</v>
      </c>
      <c r="G1191" s="9">
        <v>2017</v>
      </c>
      <c r="H1191" s="10"/>
      <c r="I1191" s="10"/>
      <c r="J1191" s="10"/>
      <c r="K1191" s="10"/>
      <c r="L1191" s="10"/>
      <c r="M1191" s="10"/>
      <c r="N1191" s="10"/>
      <c r="O1191" s="10"/>
      <c r="P1191" s="10"/>
      <c r="Q1191" s="10"/>
      <c r="R1191" s="10"/>
      <c r="S1191" s="10"/>
      <c r="T1191" s="10"/>
      <c r="U1191" s="10"/>
      <c r="V1191" s="10"/>
      <c r="W1191" s="10"/>
      <c r="X1191" s="10"/>
      <c r="Y1191" s="10"/>
      <c r="Z1191" s="10"/>
      <c r="AA1191" s="10"/>
      <c r="AB1191" s="10"/>
      <c r="AC1191" s="10"/>
      <c r="AD1191" s="10"/>
      <c r="AE1191" s="10" t="str">
        <f>"548.65"</f>
        <v>548.65</v>
      </c>
      <c r="AF1191" s="10"/>
      <c r="AG1191" s="10"/>
      <c r="AH1191" s="10"/>
      <c r="AI1191" s="10"/>
      <c r="AJ1191" s="10"/>
      <c r="AK1191" s="10"/>
      <c r="AL1191" s="10"/>
      <c r="AM1191" s="10"/>
      <c r="AN1191" s="10"/>
      <c r="AO1191" s="10"/>
    </row>
    <row r="1192" spans="1:41">
      <c r="A1192" s="8">
        <v>1190</v>
      </c>
      <c r="B1192" s="8">
        <v>10859</v>
      </c>
      <c r="C1192" s="8" t="s">
        <v>1384</v>
      </c>
      <c r="D1192" s="8" t="s">
        <v>10</v>
      </c>
      <c r="E1192" s="2" t="str">
        <f>"589.12"</f>
        <v>589.12</v>
      </c>
      <c r="F1192" s="9" t="s">
        <v>9</v>
      </c>
      <c r="G1192" s="9">
        <v>2017</v>
      </c>
      <c r="H1192" s="10" t="str">
        <f>"870.67"</f>
        <v>870.67</v>
      </c>
      <c r="I1192" s="10"/>
      <c r="J1192" s="10"/>
      <c r="K1192" s="10"/>
      <c r="L1192" s="10"/>
      <c r="M1192" s="10"/>
      <c r="N1192" s="10"/>
      <c r="O1192" s="10"/>
      <c r="P1192" s="10"/>
      <c r="Q1192" s="10" t="str">
        <f>"549.12"</f>
        <v>549.12</v>
      </c>
      <c r="R1192" s="10"/>
      <c r="S1192" s="10"/>
      <c r="T1192" s="10"/>
      <c r="U1192" s="10"/>
      <c r="V1192" s="10"/>
      <c r="W1192" s="10"/>
      <c r="X1192" s="10"/>
      <c r="Y1192" s="10"/>
      <c r="Z1192" s="10"/>
      <c r="AA1192" s="10"/>
      <c r="AB1192" s="10"/>
      <c r="AC1192" s="10"/>
      <c r="AD1192" s="10"/>
      <c r="AE1192" s="10"/>
      <c r="AF1192" s="10"/>
      <c r="AG1192" s="10"/>
      <c r="AH1192" s="10"/>
      <c r="AI1192" s="10"/>
      <c r="AJ1192" s="10"/>
      <c r="AK1192" s="10"/>
      <c r="AL1192" s="10"/>
      <c r="AM1192" s="10"/>
      <c r="AN1192" s="10"/>
      <c r="AO1192" s="10"/>
    </row>
    <row r="1193" spans="1:41">
      <c r="A1193" s="8">
        <v>1191</v>
      </c>
      <c r="B1193" s="8">
        <v>10895</v>
      </c>
      <c r="C1193" s="8" t="s">
        <v>1385</v>
      </c>
      <c r="D1193" s="8" t="s">
        <v>10</v>
      </c>
      <c r="E1193" s="2" t="str">
        <f>"589.36"</f>
        <v>589.36</v>
      </c>
      <c r="F1193" s="9" t="s">
        <v>9</v>
      </c>
      <c r="G1193" s="9">
        <v>2017</v>
      </c>
      <c r="H1193" s="10"/>
      <c r="I1193" s="10"/>
      <c r="J1193" s="10"/>
      <c r="K1193" s="10"/>
      <c r="L1193" s="10"/>
      <c r="M1193" s="10"/>
      <c r="N1193" s="10"/>
      <c r="O1193" s="10"/>
      <c r="P1193" s="10"/>
      <c r="Q1193" s="10"/>
      <c r="R1193" s="10"/>
      <c r="S1193" s="10"/>
      <c r="T1193" s="10"/>
      <c r="U1193" s="10"/>
      <c r="V1193" s="10"/>
      <c r="W1193" s="10"/>
      <c r="X1193" s="10"/>
      <c r="Y1193" s="10"/>
      <c r="Z1193" s="10"/>
      <c r="AA1193" s="10"/>
      <c r="AB1193" s="10"/>
      <c r="AC1193" s="10"/>
      <c r="AD1193" s="10"/>
      <c r="AE1193" s="10" t="str">
        <f>"549.36"</f>
        <v>549.36</v>
      </c>
      <c r="AF1193" s="10"/>
      <c r="AG1193" s="10"/>
      <c r="AH1193" s="10"/>
      <c r="AI1193" s="10"/>
      <c r="AJ1193" s="10"/>
      <c r="AK1193" s="10"/>
      <c r="AL1193" s="10"/>
      <c r="AM1193" s="10"/>
      <c r="AN1193" s="10"/>
      <c r="AO1193" s="10"/>
    </row>
    <row r="1194" spans="1:41">
      <c r="A1194" s="8">
        <v>1192</v>
      </c>
      <c r="B1194" s="8">
        <v>10805</v>
      </c>
      <c r="C1194" s="8" t="s">
        <v>1386</v>
      </c>
      <c r="D1194" s="8" t="s">
        <v>19</v>
      </c>
      <c r="E1194" s="2" t="str">
        <f>"590.47"</f>
        <v>590.47</v>
      </c>
      <c r="F1194" s="9" t="s">
        <v>11</v>
      </c>
      <c r="G1194" s="9">
        <v>2017</v>
      </c>
      <c r="H1194" s="10" t="str">
        <f>"550.47"</f>
        <v>550.47</v>
      </c>
      <c r="I1194" s="10"/>
      <c r="J1194" s="10"/>
      <c r="K1194" s="10"/>
      <c r="L1194" s="10"/>
      <c r="M1194" s="10"/>
      <c r="N1194" s="10"/>
      <c r="O1194" s="10"/>
      <c r="P1194" s="10"/>
      <c r="Q1194" s="10"/>
      <c r="R1194" s="10"/>
      <c r="S1194" s="10"/>
      <c r="T1194" s="10"/>
      <c r="U1194" s="10"/>
      <c r="V1194" s="10"/>
      <c r="W1194" s="10"/>
      <c r="X1194" s="10"/>
      <c r="Y1194" s="10"/>
      <c r="Z1194" s="10"/>
      <c r="AA1194" s="10"/>
      <c r="AB1194" s="10"/>
      <c r="AC1194" s="10"/>
      <c r="AD1194" s="10"/>
      <c r="AE1194" s="10"/>
      <c r="AF1194" s="10"/>
      <c r="AG1194" s="10"/>
      <c r="AH1194" s="10"/>
      <c r="AI1194" s="10"/>
      <c r="AJ1194" s="10"/>
      <c r="AK1194" s="10"/>
      <c r="AL1194" s="10"/>
      <c r="AM1194" s="10"/>
      <c r="AN1194" s="10"/>
      <c r="AO1194" s="10"/>
    </row>
    <row r="1195" spans="1:41">
      <c r="A1195" s="8">
        <v>1193</v>
      </c>
      <c r="B1195" s="8">
        <v>11320</v>
      </c>
      <c r="C1195" s="8" t="s">
        <v>1387</v>
      </c>
      <c r="D1195" s="8" t="s">
        <v>50</v>
      </c>
      <c r="E1195" s="2" t="str">
        <f>"591.54"</f>
        <v>591.54</v>
      </c>
      <c r="F1195" s="9" t="s">
        <v>9</v>
      </c>
      <c r="G1195" s="9">
        <v>2017</v>
      </c>
      <c r="H1195" s="10"/>
      <c r="I1195" s="10"/>
      <c r="J1195" s="10"/>
      <c r="K1195" s="10"/>
      <c r="L1195" s="10"/>
      <c r="M1195" s="10"/>
      <c r="N1195" s="10"/>
      <c r="O1195" s="10"/>
      <c r="P1195" s="10"/>
      <c r="Q1195" s="10"/>
      <c r="R1195" s="10"/>
      <c r="S1195" s="10"/>
      <c r="T1195" s="10"/>
      <c r="U1195" s="10"/>
      <c r="V1195" s="10"/>
      <c r="W1195" s="10" t="str">
        <f>"551.54"</f>
        <v>551.54</v>
      </c>
      <c r="X1195" s="10"/>
      <c r="Y1195" s="10"/>
      <c r="Z1195" s="10"/>
      <c r="AA1195" s="10"/>
      <c r="AB1195" s="10"/>
      <c r="AC1195" s="10"/>
      <c r="AD1195" s="10"/>
      <c r="AE1195" s="10"/>
      <c r="AF1195" s="10"/>
      <c r="AG1195" s="10"/>
      <c r="AH1195" s="10"/>
      <c r="AI1195" s="10"/>
      <c r="AJ1195" s="10"/>
      <c r="AK1195" s="10"/>
      <c r="AL1195" s="10"/>
      <c r="AM1195" s="10"/>
      <c r="AN1195" s="10"/>
      <c r="AO1195" s="10"/>
    </row>
    <row r="1196" spans="1:41">
      <c r="A1196" s="8">
        <v>1194</v>
      </c>
      <c r="B1196" s="8">
        <v>11235</v>
      </c>
      <c r="C1196" s="8" t="s">
        <v>1388</v>
      </c>
      <c r="D1196" s="8" t="s">
        <v>10</v>
      </c>
      <c r="E1196" s="2" t="str">
        <f>"591.61"</f>
        <v>591.61</v>
      </c>
      <c r="F1196" s="9"/>
      <c r="G1196" s="9">
        <v>2017</v>
      </c>
      <c r="H1196" s="10"/>
      <c r="I1196" s="10"/>
      <c r="J1196" s="10"/>
      <c r="K1196" s="10"/>
      <c r="L1196" s="10"/>
      <c r="M1196" s="10"/>
      <c r="N1196" s="10"/>
      <c r="O1196" s="10"/>
      <c r="P1196" s="10"/>
      <c r="Q1196" s="10" t="str">
        <f>"643.89"</f>
        <v>643.89</v>
      </c>
      <c r="R1196" s="10"/>
      <c r="S1196" s="10"/>
      <c r="T1196" s="10"/>
      <c r="U1196" s="10"/>
      <c r="V1196" s="10"/>
      <c r="W1196" s="10"/>
      <c r="X1196" s="10"/>
      <c r="Y1196" s="10"/>
      <c r="Z1196" s="10"/>
      <c r="AA1196" s="10"/>
      <c r="AB1196" s="10"/>
      <c r="AC1196" s="10"/>
      <c r="AD1196" s="10"/>
      <c r="AE1196" s="10"/>
      <c r="AF1196" s="10"/>
      <c r="AG1196" s="10"/>
      <c r="AH1196" s="10"/>
      <c r="AI1196" s="10"/>
      <c r="AJ1196" s="10"/>
      <c r="AK1196" s="10"/>
      <c r="AL1196" s="10" t="str">
        <f>"574.42"</f>
        <v>574.42</v>
      </c>
      <c r="AM1196" s="10"/>
      <c r="AN1196" s="10" t="str">
        <f>"608.80"</f>
        <v>608.80</v>
      </c>
      <c r="AO1196" s="10"/>
    </row>
    <row r="1197" spans="1:41">
      <c r="A1197" s="8">
        <v>1195</v>
      </c>
      <c r="B1197" s="8">
        <v>10289</v>
      </c>
      <c r="C1197" s="8" t="s">
        <v>1389</v>
      </c>
      <c r="D1197" s="8" t="s">
        <v>14</v>
      </c>
      <c r="E1197" s="2" t="str">
        <f>"591.94"</f>
        <v>591.94</v>
      </c>
      <c r="F1197" s="9" t="s">
        <v>11</v>
      </c>
      <c r="G1197" s="9">
        <v>2017</v>
      </c>
      <c r="H1197" s="10" t="str">
        <f>"551.94"</f>
        <v>551.94</v>
      </c>
      <c r="I1197" s="10"/>
      <c r="J1197" s="10"/>
      <c r="K1197" s="10"/>
      <c r="L1197" s="10"/>
      <c r="M1197" s="10"/>
      <c r="N1197" s="10"/>
      <c r="O1197" s="10"/>
      <c r="P1197" s="10"/>
      <c r="Q1197" s="10"/>
      <c r="R1197" s="10"/>
      <c r="S1197" s="10"/>
      <c r="T1197" s="10"/>
      <c r="U1197" s="10"/>
      <c r="V1197" s="10"/>
      <c r="W1197" s="10"/>
      <c r="X1197" s="10"/>
      <c r="Y1197" s="10"/>
      <c r="Z1197" s="10"/>
      <c r="AA1197" s="10"/>
      <c r="AB1197" s="10"/>
      <c r="AC1197" s="10"/>
      <c r="AD1197" s="10"/>
      <c r="AE1197" s="10"/>
      <c r="AF1197" s="10"/>
      <c r="AG1197" s="10"/>
      <c r="AH1197" s="10"/>
      <c r="AI1197" s="10"/>
      <c r="AJ1197" s="10"/>
      <c r="AK1197" s="10"/>
      <c r="AL1197" s="10"/>
      <c r="AM1197" s="10"/>
      <c r="AN1197" s="10"/>
      <c r="AO1197" s="10"/>
    </row>
    <row r="1198" spans="1:41">
      <c r="A1198" s="8">
        <v>1196</v>
      </c>
      <c r="B1198" s="8">
        <v>10395</v>
      </c>
      <c r="C1198" s="8" t="s">
        <v>1390</v>
      </c>
      <c r="D1198" s="8" t="s">
        <v>19</v>
      </c>
      <c r="E1198" s="2" t="str">
        <f>"592.44"</f>
        <v>592.44</v>
      </c>
      <c r="F1198" s="9"/>
      <c r="G1198" s="9">
        <v>2017</v>
      </c>
      <c r="H1198" s="10" t="str">
        <f>"661.94"</f>
        <v>661.94</v>
      </c>
      <c r="I1198" s="10"/>
      <c r="J1198" s="10"/>
      <c r="K1198" s="10"/>
      <c r="L1198" s="10"/>
      <c r="M1198" s="10"/>
      <c r="N1198" s="10"/>
      <c r="O1198" s="10"/>
      <c r="P1198" s="10"/>
      <c r="Q1198" s="10"/>
      <c r="R1198" s="10"/>
      <c r="S1198" s="10"/>
      <c r="T1198" s="10"/>
      <c r="U1198" s="10"/>
      <c r="V1198" s="10"/>
      <c r="W1198" s="10"/>
      <c r="X1198" s="10"/>
      <c r="Y1198" s="10"/>
      <c r="Z1198" s="10"/>
      <c r="AA1198" s="10"/>
      <c r="AB1198" s="10" t="str">
        <f>"647.42"</f>
        <v>647.42</v>
      </c>
      <c r="AC1198" s="10"/>
      <c r="AD1198" s="10"/>
      <c r="AE1198" s="10"/>
      <c r="AF1198" s="10"/>
      <c r="AG1198" s="10"/>
      <c r="AH1198" s="10"/>
      <c r="AI1198" s="10"/>
      <c r="AJ1198" s="10"/>
      <c r="AK1198" s="10"/>
      <c r="AL1198" s="10"/>
      <c r="AM1198" s="10" t="str">
        <f>"537.45"</f>
        <v>537.45</v>
      </c>
      <c r="AN1198" s="10"/>
      <c r="AO1198" s="10"/>
    </row>
    <row r="1199" spans="1:41">
      <c r="A1199" s="8">
        <v>1197</v>
      </c>
      <c r="B1199" s="8">
        <v>1364</v>
      </c>
      <c r="C1199" s="8" t="s">
        <v>1391</v>
      </c>
      <c r="D1199" s="8" t="s">
        <v>20</v>
      </c>
      <c r="E1199" s="2" t="str">
        <f>"592.82"</f>
        <v>592.82</v>
      </c>
      <c r="F1199" s="9" t="s">
        <v>9</v>
      </c>
      <c r="G1199" s="9">
        <v>2017</v>
      </c>
      <c r="H1199" s="10" t="str">
        <f>"411.72"</f>
        <v>411.72</v>
      </c>
      <c r="I1199" s="10"/>
      <c r="J1199" s="10"/>
      <c r="K1199" s="10"/>
      <c r="L1199" s="10"/>
      <c r="M1199" s="10"/>
      <c r="N1199" s="10"/>
      <c r="O1199" s="10"/>
      <c r="P1199" s="10" t="str">
        <f>"552.82"</f>
        <v>552.82</v>
      </c>
      <c r="Q1199" s="10"/>
      <c r="R1199" s="10"/>
      <c r="S1199" s="10"/>
      <c r="T1199" s="10"/>
      <c r="U1199" s="10"/>
      <c r="V1199" s="10"/>
      <c r="W1199" s="10"/>
      <c r="X1199" s="10"/>
      <c r="Y1199" s="10"/>
      <c r="Z1199" s="10"/>
      <c r="AA1199" s="10"/>
      <c r="AB1199" s="10"/>
      <c r="AC1199" s="10"/>
      <c r="AD1199" s="10"/>
      <c r="AE1199" s="10"/>
      <c r="AF1199" s="10"/>
      <c r="AG1199" s="10"/>
      <c r="AH1199" s="10"/>
      <c r="AI1199" s="10"/>
      <c r="AJ1199" s="10"/>
      <c r="AK1199" s="10"/>
      <c r="AL1199" s="10"/>
      <c r="AM1199" s="10"/>
      <c r="AN1199" s="10"/>
      <c r="AO1199" s="10"/>
    </row>
    <row r="1200" spans="1:41">
      <c r="A1200" s="8">
        <v>1198</v>
      </c>
      <c r="B1200" s="8">
        <v>1393</v>
      </c>
      <c r="C1200" s="8" t="s">
        <v>1392</v>
      </c>
      <c r="D1200" s="8" t="s">
        <v>1393</v>
      </c>
      <c r="E1200" s="2" t="str">
        <f>"596.67"</f>
        <v>596.67</v>
      </c>
      <c r="F1200" s="9" t="s">
        <v>11</v>
      </c>
      <c r="G1200" s="9">
        <v>2017</v>
      </c>
      <c r="H1200" s="10" t="str">
        <f>"556.67"</f>
        <v>556.67</v>
      </c>
      <c r="I1200" s="10"/>
      <c r="J1200" s="10"/>
      <c r="K1200" s="10"/>
      <c r="L1200" s="10"/>
      <c r="M1200" s="10"/>
      <c r="N1200" s="10"/>
      <c r="O1200" s="10"/>
      <c r="P1200" s="10"/>
      <c r="Q1200" s="10"/>
      <c r="R1200" s="10"/>
      <c r="S1200" s="10"/>
      <c r="T1200" s="10"/>
      <c r="U1200" s="10"/>
      <c r="V1200" s="10"/>
      <c r="W1200" s="10"/>
      <c r="X1200" s="10"/>
      <c r="Y1200" s="10"/>
      <c r="Z1200" s="10"/>
      <c r="AA1200" s="10"/>
      <c r="AB1200" s="10"/>
      <c r="AC1200" s="10"/>
      <c r="AD1200" s="10"/>
      <c r="AE1200" s="10"/>
      <c r="AF1200" s="10"/>
      <c r="AG1200" s="10"/>
      <c r="AH1200" s="10"/>
      <c r="AI1200" s="10"/>
      <c r="AJ1200" s="10"/>
      <c r="AK1200" s="10"/>
      <c r="AL1200" s="10"/>
      <c r="AM1200" s="10"/>
      <c r="AN1200" s="10"/>
      <c r="AO1200" s="10"/>
    </row>
    <row r="1201" spans="1:41">
      <c r="A1201" s="8">
        <v>1199</v>
      </c>
      <c r="B1201" s="8">
        <v>11300</v>
      </c>
      <c r="C1201" s="8" t="s">
        <v>1394</v>
      </c>
      <c r="D1201" s="8" t="s">
        <v>10</v>
      </c>
      <c r="E1201" s="2" t="str">
        <f>"602.76"</f>
        <v>602.76</v>
      </c>
      <c r="F1201" s="9" t="s">
        <v>9</v>
      </c>
      <c r="G1201" s="9">
        <v>2017</v>
      </c>
      <c r="H1201" s="10"/>
      <c r="I1201" s="10"/>
      <c r="J1201" s="10"/>
      <c r="K1201" s="10"/>
      <c r="L1201" s="10"/>
      <c r="M1201" s="10"/>
      <c r="N1201" s="10"/>
      <c r="O1201" s="10"/>
      <c r="P1201" s="10"/>
      <c r="Q1201" s="10" t="str">
        <f>"562.76"</f>
        <v>562.76</v>
      </c>
      <c r="R1201" s="10"/>
      <c r="S1201" s="10"/>
      <c r="T1201" s="10"/>
      <c r="U1201" s="10"/>
      <c r="V1201" s="10"/>
      <c r="W1201" s="10"/>
      <c r="X1201" s="10"/>
      <c r="Y1201" s="10"/>
      <c r="Z1201" s="10"/>
      <c r="AA1201" s="10"/>
      <c r="AB1201" s="10"/>
      <c r="AC1201" s="10"/>
      <c r="AD1201" s="10"/>
      <c r="AE1201" s="10"/>
      <c r="AF1201" s="10"/>
      <c r="AG1201" s="10"/>
      <c r="AH1201" s="10"/>
      <c r="AI1201" s="10"/>
      <c r="AJ1201" s="10"/>
      <c r="AK1201" s="10"/>
      <c r="AL1201" s="10"/>
      <c r="AM1201" s="10"/>
      <c r="AN1201" s="10"/>
      <c r="AO1201" s="10"/>
    </row>
    <row r="1202" spans="1:41">
      <c r="A1202" s="8">
        <v>1200</v>
      </c>
      <c r="B1202" s="8">
        <v>10868</v>
      </c>
      <c r="C1202" s="8" t="s">
        <v>1395</v>
      </c>
      <c r="D1202" s="8" t="s">
        <v>10</v>
      </c>
      <c r="E1202" s="2" t="str">
        <f>"602.89"</f>
        <v>602.89</v>
      </c>
      <c r="F1202" s="9" t="s">
        <v>9</v>
      </c>
      <c r="G1202" s="9">
        <v>2017</v>
      </c>
      <c r="H1202" s="10" t="str">
        <f>"631.57"</f>
        <v>631.57</v>
      </c>
      <c r="I1202" s="10"/>
      <c r="J1202" s="10"/>
      <c r="K1202" s="10"/>
      <c r="L1202" s="10"/>
      <c r="M1202" s="10"/>
      <c r="N1202" s="10"/>
      <c r="O1202" s="10"/>
      <c r="P1202" s="10"/>
      <c r="Q1202" s="10" t="str">
        <f>"562.89"</f>
        <v>562.89</v>
      </c>
      <c r="R1202" s="10"/>
      <c r="S1202" s="10"/>
      <c r="T1202" s="10"/>
      <c r="U1202" s="10"/>
      <c r="V1202" s="10"/>
      <c r="W1202" s="10"/>
      <c r="X1202" s="10"/>
      <c r="Y1202" s="10"/>
      <c r="Z1202" s="10"/>
      <c r="AA1202" s="10"/>
      <c r="AB1202" s="10"/>
      <c r="AC1202" s="10"/>
      <c r="AD1202" s="10"/>
      <c r="AE1202" s="10"/>
      <c r="AF1202" s="10"/>
      <c r="AG1202" s="10"/>
      <c r="AH1202" s="10"/>
      <c r="AI1202" s="10"/>
      <c r="AJ1202" s="10"/>
      <c r="AK1202" s="10"/>
      <c r="AL1202" s="10"/>
      <c r="AM1202" s="10"/>
      <c r="AN1202" s="10"/>
      <c r="AO1202" s="10"/>
    </row>
    <row r="1203" spans="1:41">
      <c r="A1203" s="8">
        <v>1201</v>
      </c>
      <c r="B1203" s="8">
        <v>11411</v>
      </c>
      <c r="C1203" s="8" t="s">
        <v>1396</v>
      </c>
      <c r="D1203" s="8" t="s">
        <v>14</v>
      </c>
      <c r="E1203" s="2" t="str">
        <f>"604.72"</f>
        <v>604.72</v>
      </c>
      <c r="F1203" s="9" t="s">
        <v>9</v>
      </c>
      <c r="G1203" s="9">
        <v>2017</v>
      </c>
      <c r="H1203" s="10"/>
      <c r="I1203" s="10"/>
      <c r="J1203" s="10"/>
      <c r="K1203" s="10"/>
      <c r="L1203" s="10"/>
      <c r="M1203" s="10"/>
      <c r="N1203" s="10"/>
      <c r="O1203" s="10"/>
      <c r="P1203" s="10"/>
      <c r="Q1203" s="10"/>
      <c r="R1203" s="10"/>
      <c r="S1203" s="10"/>
      <c r="T1203" s="10"/>
      <c r="U1203" s="10"/>
      <c r="V1203" s="10"/>
      <c r="W1203" s="10"/>
      <c r="X1203" s="10" t="str">
        <f>"564.72"</f>
        <v>564.72</v>
      </c>
      <c r="Y1203" s="10"/>
      <c r="Z1203" s="10"/>
      <c r="AA1203" s="10"/>
      <c r="AB1203" s="10"/>
      <c r="AC1203" s="10"/>
      <c r="AD1203" s="10"/>
      <c r="AE1203" s="10"/>
      <c r="AF1203" s="10"/>
      <c r="AG1203" s="10"/>
      <c r="AH1203" s="10"/>
      <c r="AI1203" s="10"/>
      <c r="AJ1203" s="10"/>
      <c r="AK1203" s="10"/>
      <c r="AL1203" s="10"/>
      <c r="AM1203" s="10"/>
      <c r="AN1203" s="10"/>
      <c r="AO1203" s="10"/>
    </row>
    <row r="1204" spans="1:41">
      <c r="A1204" s="8">
        <v>1202</v>
      </c>
      <c r="B1204" s="8">
        <v>11092</v>
      </c>
      <c r="C1204" s="8" t="s">
        <v>1397</v>
      </c>
      <c r="D1204" s="8" t="s">
        <v>12</v>
      </c>
      <c r="E1204" s="2" t="str">
        <f>"608.51"</f>
        <v>608.51</v>
      </c>
      <c r="F1204" s="9" t="s">
        <v>9</v>
      </c>
      <c r="G1204" s="9">
        <v>2017</v>
      </c>
      <c r="H1204" s="10"/>
      <c r="I1204" s="10"/>
      <c r="J1204" s="10"/>
      <c r="K1204" s="10"/>
      <c r="L1204" s="10"/>
      <c r="M1204" s="10"/>
      <c r="N1204" s="10"/>
      <c r="O1204" s="10"/>
      <c r="P1204" s="10"/>
      <c r="Q1204" s="10"/>
      <c r="R1204" s="10"/>
      <c r="S1204" s="10"/>
      <c r="T1204" s="10"/>
      <c r="U1204" s="10" t="str">
        <f>"568.51"</f>
        <v>568.51</v>
      </c>
      <c r="V1204" s="10"/>
      <c r="W1204" s="10"/>
      <c r="X1204" s="10"/>
      <c r="Y1204" s="10"/>
      <c r="Z1204" s="10"/>
      <c r="AA1204" s="10"/>
      <c r="AB1204" s="10"/>
      <c r="AC1204" s="10"/>
      <c r="AD1204" s="10"/>
      <c r="AE1204" s="10"/>
      <c r="AF1204" s="10"/>
      <c r="AG1204" s="10"/>
      <c r="AH1204" s="10"/>
      <c r="AI1204" s="10"/>
      <c r="AJ1204" s="10"/>
      <c r="AK1204" s="10"/>
      <c r="AL1204" s="10"/>
      <c r="AM1204" s="10"/>
      <c r="AN1204" s="10"/>
      <c r="AO1204" s="10"/>
    </row>
    <row r="1205" spans="1:41">
      <c r="A1205" s="8">
        <v>1203</v>
      </c>
      <c r="B1205" s="8">
        <v>10401</v>
      </c>
      <c r="C1205" s="8" t="s">
        <v>1398</v>
      </c>
      <c r="D1205" s="8" t="s">
        <v>19</v>
      </c>
      <c r="E1205" s="2" t="str">
        <f>"611.04"</f>
        <v>611.04</v>
      </c>
      <c r="F1205" s="9" t="s">
        <v>11</v>
      </c>
      <c r="G1205" s="9">
        <v>2017</v>
      </c>
      <c r="H1205" s="10" t="str">
        <f>"571.04"</f>
        <v>571.04</v>
      </c>
      <c r="I1205" s="10"/>
      <c r="J1205" s="10"/>
      <c r="K1205" s="10"/>
      <c r="L1205" s="10"/>
      <c r="M1205" s="10"/>
      <c r="N1205" s="10"/>
      <c r="O1205" s="10"/>
      <c r="P1205" s="10"/>
      <c r="Q1205" s="10"/>
      <c r="R1205" s="10"/>
      <c r="S1205" s="10"/>
      <c r="T1205" s="10"/>
      <c r="U1205" s="10"/>
      <c r="V1205" s="10"/>
      <c r="W1205" s="10"/>
      <c r="X1205" s="10"/>
      <c r="Y1205" s="10"/>
      <c r="Z1205" s="10"/>
      <c r="AA1205" s="10"/>
      <c r="AB1205" s="10"/>
      <c r="AC1205" s="10"/>
      <c r="AD1205" s="10"/>
      <c r="AE1205" s="10"/>
      <c r="AF1205" s="10"/>
      <c r="AG1205" s="10"/>
      <c r="AH1205" s="10"/>
      <c r="AI1205" s="10"/>
      <c r="AJ1205" s="10"/>
      <c r="AK1205" s="10"/>
      <c r="AL1205" s="10"/>
      <c r="AM1205" s="10"/>
      <c r="AN1205" s="10"/>
      <c r="AO1205" s="10"/>
    </row>
    <row r="1206" spans="1:41">
      <c r="A1206" s="8">
        <v>1204</v>
      </c>
      <c r="B1206" s="8">
        <v>10840</v>
      </c>
      <c r="C1206" s="8" t="s">
        <v>1399</v>
      </c>
      <c r="D1206" s="8" t="s">
        <v>10</v>
      </c>
      <c r="E1206" s="2" t="str">
        <f>"611.77"</f>
        <v>611.77</v>
      </c>
      <c r="F1206" s="9"/>
      <c r="G1206" s="9">
        <v>2017</v>
      </c>
      <c r="H1206" s="10" t="str">
        <f>"765.41"</f>
        <v>765.41</v>
      </c>
      <c r="I1206" s="10"/>
      <c r="J1206" s="10"/>
      <c r="K1206" s="10"/>
      <c r="L1206" s="10"/>
      <c r="M1206" s="10"/>
      <c r="N1206" s="10"/>
      <c r="O1206" s="10"/>
      <c r="P1206" s="10"/>
      <c r="Q1206" s="10" t="str">
        <f>"738.38"</f>
        <v>738.38</v>
      </c>
      <c r="R1206" s="10"/>
      <c r="S1206" s="10"/>
      <c r="T1206" s="10"/>
      <c r="U1206" s="10"/>
      <c r="V1206" s="10"/>
      <c r="W1206" s="10"/>
      <c r="X1206" s="10"/>
      <c r="Y1206" s="10"/>
      <c r="Z1206" s="10"/>
      <c r="AA1206" s="10"/>
      <c r="AB1206" s="10"/>
      <c r="AC1206" s="10"/>
      <c r="AD1206" s="10"/>
      <c r="AE1206" s="10" t="str">
        <f>"485.15"</f>
        <v>485.15</v>
      </c>
      <c r="AF1206" s="10"/>
      <c r="AG1206" s="10"/>
      <c r="AH1206" s="10"/>
      <c r="AI1206" s="10"/>
      <c r="AJ1206" s="10"/>
      <c r="AK1206" s="10"/>
      <c r="AL1206" s="10"/>
      <c r="AM1206" s="10"/>
      <c r="AN1206" s="10"/>
      <c r="AO1206" s="10"/>
    </row>
    <row r="1207" spans="1:41">
      <c r="A1207" s="8">
        <v>1205</v>
      </c>
      <c r="B1207" s="8">
        <v>10991</v>
      </c>
      <c r="C1207" s="8" t="s">
        <v>1400</v>
      </c>
      <c r="D1207" s="8" t="s">
        <v>65</v>
      </c>
      <c r="E1207" s="2" t="str">
        <f>"614.24"</f>
        <v>614.24</v>
      </c>
      <c r="F1207" s="9"/>
      <c r="G1207" s="9">
        <v>2017</v>
      </c>
      <c r="H1207" s="10"/>
      <c r="I1207" s="10"/>
      <c r="J1207" s="10"/>
      <c r="K1207" s="10"/>
      <c r="L1207" s="10"/>
      <c r="M1207" s="10"/>
      <c r="N1207" s="10" t="str">
        <f>"617.51"</f>
        <v>617.51</v>
      </c>
      <c r="O1207" s="10"/>
      <c r="P1207" s="10" t="str">
        <f>"610.96"</f>
        <v>610.96</v>
      </c>
      <c r="Q1207" s="10"/>
      <c r="R1207" s="10"/>
      <c r="S1207" s="10"/>
      <c r="T1207" s="10"/>
      <c r="U1207" s="10"/>
      <c r="V1207" s="10"/>
      <c r="W1207" s="10"/>
      <c r="X1207" s="10"/>
      <c r="Y1207" s="10"/>
      <c r="Z1207" s="10"/>
      <c r="AA1207" s="10"/>
      <c r="AB1207" s="10"/>
      <c r="AC1207" s="10"/>
      <c r="AD1207" s="10"/>
      <c r="AE1207" s="10"/>
      <c r="AF1207" s="10"/>
      <c r="AG1207" s="10"/>
      <c r="AH1207" s="10"/>
      <c r="AI1207" s="10"/>
      <c r="AJ1207" s="10"/>
      <c r="AK1207" s="10"/>
      <c r="AL1207" s="10"/>
      <c r="AM1207" s="10"/>
      <c r="AN1207" s="10"/>
      <c r="AO1207" s="10"/>
    </row>
    <row r="1208" spans="1:41">
      <c r="A1208" s="8">
        <v>1206</v>
      </c>
      <c r="B1208" s="8">
        <v>11297</v>
      </c>
      <c r="C1208" s="8" t="s">
        <v>1401</v>
      </c>
      <c r="D1208" s="8" t="s">
        <v>10</v>
      </c>
      <c r="E1208" s="2" t="str">
        <f>"618.44"</f>
        <v>618.44</v>
      </c>
      <c r="F1208" s="9" t="s">
        <v>9</v>
      </c>
      <c r="G1208" s="9">
        <v>2017</v>
      </c>
      <c r="H1208" s="10"/>
      <c r="I1208" s="10"/>
      <c r="J1208" s="10"/>
      <c r="K1208" s="10"/>
      <c r="L1208" s="10"/>
      <c r="M1208" s="10"/>
      <c r="N1208" s="10"/>
      <c r="O1208" s="10"/>
      <c r="P1208" s="10"/>
      <c r="Q1208" s="10" t="str">
        <f>"578.44"</f>
        <v>578.44</v>
      </c>
      <c r="R1208" s="10"/>
      <c r="S1208" s="10"/>
      <c r="T1208" s="10"/>
      <c r="U1208" s="10"/>
      <c r="V1208" s="10"/>
      <c r="W1208" s="10"/>
      <c r="X1208" s="10"/>
      <c r="Y1208" s="10"/>
      <c r="Z1208" s="10"/>
      <c r="AA1208" s="10"/>
      <c r="AB1208" s="10"/>
      <c r="AC1208" s="10"/>
      <c r="AD1208" s="10"/>
      <c r="AE1208" s="10"/>
      <c r="AF1208" s="10"/>
      <c r="AG1208" s="10"/>
      <c r="AH1208" s="10"/>
      <c r="AI1208" s="10"/>
      <c r="AJ1208" s="10"/>
      <c r="AK1208" s="10"/>
      <c r="AL1208" s="10"/>
      <c r="AM1208" s="10"/>
      <c r="AN1208" s="10"/>
      <c r="AO1208" s="10"/>
    </row>
    <row r="1209" spans="1:41">
      <c r="A1209" s="8">
        <v>1207</v>
      </c>
      <c r="B1209" s="8">
        <v>10772</v>
      </c>
      <c r="C1209" s="8" t="s">
        <v>1402</v>
      </c>
      <c r="D1209" s="8" t="s">
        <v>19</v>
      </c>
      <c r="E1209" s="2" t="str">
        <f>"618.92"</f>
        <v>618.92</v>
      </c>
      <c r="F1209" s="9" t="s">
        <v>9</v>
      </c>
      <c r="G1209" s="9">
        <v>2017</v>
      </c>
      <c r="H1209" s="10" t="str">
        <f>"687.27"</f>
        <v>687.27</v>
      </c>
      <c r="I1209" s="10"/>
      <c r="J1209" s="10"/>
      <c r="K1209" s="10"/>
      <c r="L1209" s="10"/>
      <c r="M1209" s="10"/>
      <c r="N1209" s="10"/>
      <c r="O1209" s="10"/>
      <c r="P1209" s="10"/>
      <c r="Q1209" s="10"/>
      <c r="R1209" s="10"/>
      <c r="S1209" s="10"/>
      <c r="T1209" s="10"/>
      <c r="U1209" s="10"/>
      <c r="V1209" s="10"/>
      <c r="W1209" s="10"/>
      <c r="X1209" s="10"/>
      <c r="Y1209" s="10"/>
      <c r="Z1209" s="10"/>
      <c r="AA1209" s="10"/>
      <c r="AB1209" s="10" t="str">
        <f>"578.92"</f>
        <v>578.92</v>
      </c>
      <c r="AC1209" s="10"/>
      <c r="AD1209" s="10"/>
      <c r="AE1209" s="10"/>
      <c r="AF1209" s="10"/>
      <c r="AG1209" s="10"/>
      <c r="AH1209" s="10"/>
      <c r="AI1209" s="10"/>
      <c r="AJ1209" s="10"/>
      <c r="AK1209" s="10"/>
      <c r="AL1209" s="10"/>
      <c r="AM1209" s="10"/>
      <c r="AN1209" s="10"/>
      <c r="AO1209" s="10"/>
    </row>
    <row r="1210" spans="1:41">
      <c r="A1210" s="8">
        <v>1208</v>
      </c>
      <c r="B1210" s="8">
        <v>10361</v>
      </c>
      <c r="C1210" s="8" t="s">
        <v>1403</v>
      </c>
      <c r="D1210" s="8" t="s">
        <v>12</v>
      </c>
      <c r="E1210" s="2" t="str">
        <f>"619.67"</f>
        <v>619.67</v>
      </c>
      <c r="F1210" s="9" t="s">
        <v>11</v>
      </c>
      <c r="G1210" s="9">
        <v>2017</v>
      </c>
      <c r="H1210" s="10" t="str">
        <f>"579.67"</f>
        <v>579.67</v>
      </c>
      <c r="I1210" s="10"/>
      <c r="J1210" s="10"/>
      <c r="K1210" s="10"/>
      <c r="L1210" s="10"/>
      <c r="M1210" s="10"/>
      <c r="N1210" s="10"/>
      <c r="O1210" s="10"/>
      <c r="P1210" s="10"/>
      <c r="Q1210" s="10"/>
      <c r="R1210" s="10"/>
      <c r="S1210" s="10"/>
      <c r="T1210" s="10"/>
      <c r="U1210" s="10"/>
      <c r="V1210" s="10"/>
      <c r="W1210" s="10"/>
      <c r="X1210" s="10"/>
      <c r="Y1210" s="10"/>
      <c r="Z1210" s="10"/>
      <c r="AA1210" s="10"/>
      <c r="AB1210" s="10"/>
      <c r="AC1210" s="10"/>
      <c r="AD1210" s="10"/>
      <c r="AE1210" s="10"/>
      <c r="AF1210" s="10"/>
      <c r="AG1210" s="10"/>
      <c r="AH1210" s="10"/>
      <c r="AI1210" s="10"/>
      <c r="AJ1210" s="10"/>
      <c r="AK1210" s="10"/>
      <c r="AL1210" s="10"/>
      <c r="AM1210" s="10"/>
      <c r="AN1210" s="10"/>
      <c r="AO1210" s="10"/>
    </row>
    <row r="1211" spans="1:41">
      <c r="A1211" s="8">
        <v>1209</v>
      </c>
      <c r="B1211" s="8">
        <v>10121</v>
      </c>
      <c r="C1211" s="8" t="s">
        <v>1404</v>
      </c>
      <c r="D1211" s="8" t="s">
        <v>10</v>
      </c>
      <c r="E1211" s="2" t="str">
        <f>"621.09"</f>
        <v>621.09</v>
      </c>
      <c r="F1211" s="9" t="s">
        <v>11</v>
      </c>
      <c r="G1211" s="9">
        <v>2017</v>
      </c>
      <c r="H1211" s="10" t="str">
        <f>"581.09"</f>
        <v>581.09</v>
      </c>
      <c r="I1211" s="10"/>
      <c r="J1211" s="10"/>
      <c r="K1211" s="10"/>
      <c r="L1211" s="10"/>
      <c r="M1211" s="10"/>
      <c r="N1211" s="10"/>
      <c r="O1211" s="10"/>
      <c r="P1211" s="10"/>
      <c r="Q1211" s="10"/>
      <c r="R1211" s="10"/>
      <c r="S1211" s="10"/>
      <c r="T1211" s="10"/>
      <c r="U1211" s="10"/>
      <c r="V1211" s="10"/>
      <c r="W1211" s="10"/>
      <c r="X1211" s="10"/>
      <c r="Y1211" s="10"/>
      <c r="Z1211" s="10"/>
      <c r="AA1211" s="10"/>
      <c r="AB1211" s="10"/>
      <c r="AC1211" s="10"/>
      <c r="AD1211" s="10"/>
      <c r="AE1211" s="10"/>
      <c r="AF1211" s="10"/>
      <c r="AG1211" s="10"/>
      <c r="AH1211" s="10"/>
      <c r="AI1211" s="10"/>
      <c r="AJ1211" s="10"/>
      <c r="AK1211" s="10"/>
      <c r="AL1211" s="10"/>
      <c r="AM1211" s="10"/>
      <c r="AN1211" s="10"/>
      <c r="AO1211" s="10"/>
    </row>
    <row r="1212" spans="1:41">
      <c r="A1212" s="8">
        <v>1210</v>
      </c>
      <c r="B1212" s="8">
        <v>11176</v>
      </c>
      <c r="C1212" s="8" t="s">
        <v>1405</v>
      </c>
      <c r="D1212" s="8" t="s">
        <v>19</v>
      </c>
      <c r="E1212" s="2" t="str">
        <f>"622.26"</f>
        <v>622.26</v>
      </c>
      <c r="F1212" s="9" t="s">
        <v>9</v>
      </c>
      <c r="G1212" s="9">
        <v>2017</v>
      </c>
      <c r="H1212" s="10"/>
      <c r="I1212" s="10"/>
      <c r="J1212" s="10"/>
      <c r="K1212" s="10"/>
      <c r="L1212" s="10"/>
      <c r="M1212" s="10"/>
      <c r="N1212" s="10"/>
      <c r="O1212" s="10"/>
      <c r="P1212" s="10"/>
      <c r="Q1212" s="10"/>
      <c r="R1212" s="10"/>
      <c r="S1212" s="10"/>
      <c r="T1212" s="10"/>
      <c r="U1212" s="10"/>
      <c r="V1212" s="10"/>
      <c r="W1212" s="10"/>
      <c r="X1212" s="10"/>
      <c r="Y1212" s="10"/>
      <c r="Z1212" s="10"/>
      <c r="AA1212" s="10"/>
      <c r="AB1212" s="10" t="str">
        <f>"582.26"</f>
        <v>582.26</v>
      </c>
      <c r="AC1212" s="10"/>
      <c r="AD1212" s="10"/>
      <c r="AE1212" s="10"/>
      <c r="AF1212" s="10"/>
      <c r="AG1212" s="10"/>
      <c r="AH1212" s="10"/>
      <c r="AI1212" s="10"/>
      <c r="AJ1212" s="10"/>
      <c r="AK1212" s="10"/>
      <c r="AL1212" s="10"/>
      <c r="AM1212" s="10"/>
      <c r="AN1212" s="10"/>
      <c r="AO1212" s="10"/>
    </row>
    <row r="1213" spans="1:41">
      <c r="A1213" s="8">
        <v>1211</v>
      </c>
      <c r="B1213" s="8">
        <v>10763</v>
      </c>
      <c r="C1213" s="8" t="s">
        <v>1406</v>
      </c>
      <c r="D1213" s="8" t="s">
        <v>19</v>
      </c>
      <c r="E1213" s="2" t="str">
        <f>"624.11"</f>
        <v>624.11</v>
      </c>
      <c r="F1213" s="9" t="s">
        <v>9</v>
      </c>
      <c r="G1213" s="9">
        <v>2017</v>
      </c>
      <c r="H1213" s="10" t="str">
        <f>"864.49"</f>
        <v>864.49</v>
      </c>
      <c r="I1213" s="10"/>
      <c r="J1213" s="10"/>
      <c r="K1213" s="10"/>
      <c r="L1213" s="10"/>
      <c r="M1213" s="10"/>
      <c r="N1213" s="10"/>
      <c r="O1213" s="10"/>
      <c r="P1213" s="10"/>
      <c r="Q1213" s="10"/>
      <c r="R1213" s="10"/>
      <c r="S1213" s="10"/>
      <c r="T1213" s="10"/>
      <c r="U1213" s="10"/>
      <c r="V1213" s="10"/>
      <c r="W1213" s="10"/>
      <c r="X1213" s="10"/>
      <c r="Y1213" s="10"/>
      <c r="Z1213" s="10"/>
      <c r="AA1213" s="10"/>
      <c r="AB1213" s="10" t="str">
        <f>"584.11"</f>
        <v>584.11</v>
      </c>
      <c r="AC1213" s="10"/>
      <c r="AD1213" s="10"/>
      <c r="AE1213" s="10"/>
      <c r="AF1213" s="10"/>
      <c r="AG1213" s="10"/>
      <c r="AH1213" s="10"/>
      <c r="AI1213" s="10"/>
      <c r="AJ1213" s="10"/>
      <c r="AK1213" s="10"/>
      <c r="AL1213" s="10"/>
      <c r="AM1213" s="10"/>
      <c r="AN1213" s="10"/>
      <c r="AO1213" s="10"/>
    </row>
    <row r="1214" spans="1:41">
      <c r="A1214" s="8">
        <v>1212</v>
      </c>
      <c r="B1214" s="8">
        <v>11422</v>
      </c>
      <c r="C1214" s="8" t="s">
        <v>1407</v>
      </c>
      <c r="D1214" s="8" t="s">
        <v>19</v>
      </c>
      <c r="E1214" s="2" t="str">
        <f>"624.84"</f>
        <v>624.84</v>
      </c>
      <c r="F1214" s="9" t="s">
        <v>9</v>
      </c>
      <c r="G1214" s="9">
        <v>2017</v>
      </c>
      <c r="H1214" s="10"/>
      <c r="I1214" s="10"/>
      <c r="J1214" s="10"/>
      <c r="K1214" s="10"/>
      <c r="L1214" s="10"/>
      <c r="M1214" s="10"/>
      <c r="N1214" s="10"/>
      <c r="O1214" s="10"/>
      <c r="P1214" s="10"/>
      <c r="Q1214" s="10"/>
      <c r="R1214" s="10"/>
      <c r="S1214" s="10"/>
      <c r="T1214" s="10"/>
      <c r="U1214" s="10"/>
      <c r="V1214" s="10"/>
      <c r="W1214" s="10"/>
      <c r="X1214" s="10"/>
      <c r="Y1214" s="10"/>
      <c r="Z1214" s="10"/>
      <c r="AA1214" s="10"/>
      <c r="AB1214" s="10"/>
      <c r="AC1214" s="10"/>
      <c r="AD1214" s="10"/>
      <c r="AE1214" s="10"/>
      <c r="AF1214" s="10"/>
      <c r="AG1214" s="10"/>
      <c r="AH1214" s="10"/>
      <c r="AI1214" s="10"/>
      <c r="AJ1214" s="10"/>
      <c r="AK1214" s="10"/>
      <c r="AL1214" s="10"/>
      <c r="AM1214" s="10" t="str">
        <f>"584.84"</f>
        <v>584.84</v>
      </c>
      <c r="AN1214" s="10"/>
      <c r="AO1214" s="10"/>
    </row>
    <row r="1215" spans="1:41">
      <c r="A1215" s="8">
        <v>1213</v>
      </c>
      <c r="B1215" s="8">
        <v>11059</v>
      </c>
      <c r="C1215" s="8" t="s">
        <v>1408</v>
      </c>
      <c r="D1215" s="8" t="s">
        <v>50</v>
      </c>
      <c r="E1215" s="2" t="str">
        <f>"626.64"</f>
        <v>626.64</v>
      </c>
      <c r="F1215" s="9"/>
      <c r="G1215" s="9">
        <v>2017</v>
      </c>
      <c r="H1215" s="10" t="str">
        <f>"890.62"</f>
        <v>890.62</v>
      </c>
      <c r="I1215" s="10"/>
      <c r="J1215" s="10"/>
      <c r="K1215" s="10"/>
      <c r="L1215" s="10"/>
      <c r="M1215" s="10"/>
      <c r="N1215" s="10"/>
      <c r="O1215" s="10"/>
      <c r="P1215" s="10"/>
      <c r="Q1215" s="10"/>
      <c r="R1215" s="10"/>
      <c r="S1215" s="10"/>
      <c r="T1215" s="10"/>
      <c r="U1215" s="10" t="str">
        <f>"722.01"</f>
        <v>722.01</v>
      </c>
      <c r="V1215" s="10"/>
      <c r="W1215" s="10" t="str">
        <f>"531.26"</f>
        <v>531.26</v>
      </c>
      <c r="X1215" s="10"/>
      <c r="Y1215" s="10"/>
      <c r="Z1215" s="10"/>
      <c r="AA1215" s="10"/>
      <c r="AB1215" s="10"/>
      <c r="AC1215" s="10"/>
      <c r="AD1215" s="10"/>
      <c r="AE1215" s="10"/>
      <c r="AF1215" s="10"/>
      <c r="AG1215" s="10"/>
      <c r="AH1215" s="10"/>
      <c r="AI1215" s="10"/>
      <c r="AJ1215" s="10"/>
      <c r="AK1215" s="10"/>
      <c r="AL1215" s="10"/>
      <c r="AM1215" s="10"/>
      <c r="AN1215" s="10"/>
      <c r="AO1215" s="10"/>
    </row>
    <row r="1216" spans="1:41">
      <c r="A1216" s="8">
        <v>1214</v>
      </c>
      <c r="B1216" s="8">
        <v>10908</v>
      </c>
      <c r="C1216" s="8" t="s">
        <v>1409</v>
      </c>
      <c r="D1216" s="8" t="s">
        <v>10</v>
      </c>
      <c r="E1216" s="2" t="str">
        <f>"627.71"</f>
        <v>627.71</v>
      </c>
      <c r="F1216" s="9" t="s">
        <v>9</v>
      </c>
      <c r="G1216" s="9">
        <v>2017</v>
      </c>
      <c r="H1216" s="10" t="str">
        <f>"981.87"</f>
        <v>981.87</v>
      </c>
      <c r="I1216" s="10"/>
      <c r="J1216" s="10"/>
      <c r="K1216" s="10"/>
      <c r="L1216" s="10"/>
      <c r="M1216" s="10"/>
      <c r="N1216" s="10"/>
      <c r="O1216" s="10"/>
      <c r="P1216" s="10"/>
      <c r="Q1216" s="10" t="str">
        <f>"587.71"</f>
        <v>587.71</v>
      </c>
      <c r="R1216" s="10"/>
      <c r="S1216" s="10"/>
      <c r="T1216" s="10"/>
      <c r="U1216" s="10"/>
      <c r="V1216" s="10"/>
      <c r="W1216" s="10"/>
      <c r="X1216" s="10"/>
      <c r="Y1216" s="10"/>
      <c r="Z1216" s="10"/>
      <c r="AA1216" s="10"/>
      <c r="AB1216" s="10"/>
      <c r="AC1216" s="10"/>
      <c r="AD1216" s="10"/>
      <c r="AE1216" s="10"/>
      <c r="AF1216" s="10"/>
      <c r="AG1216" s="10"/>
      <c r="AH1216" s="10"/>
      <c r="AI1216" s="10"/>
      <c r="AJ1216" s="10"/>
      <c r="AK1216" s="10"/>
      <c r="AL1216" s="10"/>
      <c r="AM1216" s="10"/>
      <c r="AN1216" s="10"/>
      <c r="AO1216" s="10"/>
    </row>
    <row r="1217" spans="1:41">
      <c r="A1217" s="8">
        <v>1215</v>
      </c>
      <c r="B1217" s="8">
        <v>10948</v>
      </c>
      <c r="C1217" s="8" t="s">
        <v>1410</v>
      </c>
      <c r="D1217" s="8" t="s">
        <v>19</v>
      </c>
      <c r="E1217" s="2" t="str">
        <f>"628.24"</f>
        <v>628.24</v>
      </c>
      <c r="F1217" s="9" t="s">
        <v>9</v>
      </c>
      <c r="G1217" s="9">
        <v>2017</v>
      </c>
      <c r="H1217" s="10"/>
      <c r="I1217" s="10"/>
      <c r="J1217" s="10"/>
      <c r="K1217" s="10"/>
      <c r="L1217" s="10"/>
      <c r="M1217" s="10"/>
      <c r="N1217" s="10"/>
      <c r="O1217" s="10"/>
      <c r="P1217" s="10"/>
      <c r="Q1217" s="10"/>
      <c r="R1217" s="10"/>
      <c r="S1217" s="10"/>
      <c r="T1217" s="10"/>
      <c r="U1217" s="10"/>
      <c r="V1217" s="10"/>
      <c r="W1217" s="10"/>
      <c r="X1217" s="10"/>
      <c r="Y1217" s="10" t="str">
        <f>"588.24"</f>
        <v>588.24</v>
      </c>
      <c r="Z1217" s="10"/>
      <c r="AA1217" s="10"/>
      <c r="AB1217" s="10"/>
      <c r="AC1217" s="10"/>
      <c r="AD1217" s="10"/>
      <c r="AE1217" s="10"/>
      <c r="AF1217" s="10"/>
      <c r="AG1217" s="10"/>
      <c r="AH1217" s="10"/>
      <c r="AI1217" s="10"/>
      <c r="AJ1217" s="10"/>
      <c r="AK1217" s="10"/>
      <c r="AL1217" s="10"/>
      <c r="AM1217" s="10"/>
      <c r="AN1217" s="10"/>
      <c r="AO1217" s="10"/>
    </row>
    <row r="1218" spans="1:41">
      <c r="A1218" s="8">
        <v>1216</v>
      </c>
      <c r="B1218" s="8">
        <v>11142</v>
      </c>
      <c r="C1218" s="8" t="s">
        <v>1411</v>
      </c>
      <c r="D1218" s="8" t="s">
        <v>19</v>
      </c>
      <c r="E1218" s="2" t="str">
        <f>"631.75"</f>
        <v>631.75</v>
      </c>
      <c r="F1218" s="9" t="s">
        <v>9</v>
      </c>
      <c r="G1218" s="9">
        <v>2017</v>
      </c>
      <c r="H1218" s="10"/>
      <c r="I1218" s="10"/>
      <c r="J1218" s="10"/>
      <c r="K1218" s="10"/>
      <c r="L1218" s="10"/>
      <c r="M1218" s="10"/>
      <c r="N1218" s="10"/>
      <c r="O1218" s="10"/>
      <c r="P1218" s="10"/>
      <c r="Q1218" s="10"/>
      <c r="R1218" s="10"/>
      <c r="S1218" s="10"/>
      <c r="T1218" s="10"/>
      <c r="U1218" s="10"/>
      <c r="V1218" s="10"/>
      <c r="W1218" s="10"/>
      <c r="X1218" s="10"/>
      <c r="Y1218" s="10" t="str">
        <f>"591.75"</f>
        <v>591.75</v>
      </c>
      <c r="Z1218" s="10"/>
      <c r="AA1218" s="10"/>
      <c r="AB1218" s="10"/>
      <c r="AC1218" s="10"/>
      <c r="AD1218" s="10"/>
      <c r="AE1218" s="10"/>
      <c r="AF1218" s="10"/>
      <c r="AG1218" s="10"/>
      <c r="AH1218" s="10"/>
      <c r="AI1218" s="10"/>
      <c r="AJ1218" s="10"/>
      <c r="AK1218" s="10"/>
      <c r="AL1218" s="10"/>
      <c r="AM1218" s="10"/>
      <c r="AN1218" s="10"/>
      <c r="AO1218" s="10"/>
    </row>
    <row r="1219" spans="1:41">
      <c r="A1219" s="8">
        <v>1217</v>
      </c>
      <c r="B1219" s="8">
        <v>11166</v>
      </c>
      <c r="C1219" s="8" t="s">
        <v>1412</v>
      </c>
      <c r="D1219" s="8" t="s">
        <v>19</v>
      </c>
      <c r="E1219" s="2" t="str">
        <f>"639.15"</f>
        <v>639.15</v>
      </c>
      <c r="F1219" s="9" t="s">
        <v>9</v>
      </c>
      <c r="G1219" s="9">
        <v>2017</v>
      </c>
      <c r="H1219" s="10"/>
      <c r="I1219" s="10"/>
      <c r="J1219" s="10"/>
      <c r="K1219" s="10"/>
      <c r="L1219" s="10"/>
      <c r="M1219" s="10"/>
      <c r="N1219" s="10"/>
      <c r="O1219" s="10"/>
      <c r="P1219" s="10"/>
      <c r="Q1219" s="10"/>
      <c r="R1219" s="10"/>
      <c r="S1219" s="10"/>
      <c r="T1219" s="10"/>
      <c r="U1219" s="10"/>
      <c r="V1219" s="10"/>
      <c r="W1219" s="10"/>
      <c r="X1219" s="10"/>
      <c r="Y1219" s="10"/>
      <c r="Z1219" s="10"/>
      <c r="AA1219" s="10"/>
      <c r="AB1219" s="10" t="str">
        <f>"599.15"</f>
        <v>599.15</v>
      </c>
      <c r="AC1219" s="10"/>
      <c r="AD1219" s="10"/>
      <c r="AE1219" s="10"/>
      <c r="AF1219" s="10"/>
      <c r="AG1219" s="10"/>
      <c r="AH1219" s="10"/>
      <c r="AI1219" s="10"/>
      <c r="AJ1219" s="10"/>
      <c r="AK1219" s="10"/>
      <c r="AL1219" s="10"/>
      <c r="AM1219" s="10"/>
      <c r="AN1219" s="10"/>
      <c r="AO1219" s="10"/>
    </row>
    <row r="1220" spans="1:41">
      <c r="A1220" s="8">
        <v>1218</v>
      </c>
      <c r="B1220" s="8">
        <v>10735</v>
      </c>
      <c r="C1220" s="8" t="s">
        <v>1413</v>
      </c>
      <c r="D1220" s="8" t="s">
        <v>19</v>
      </c>
      <c r="E1220" s="2" t="str">
        <f>"649.79"</f>
        <v>649.79</v>
      </c>
      <c r="F1220" s="9"/>
      <c r="G1220" s="9">
        <v>2017</v>
      </c>
      <c r="H1220" s="10" t="str">
        <f>"978.95"</f>
        <v>978.95</v>
      </c>
      <c r="I1220" s="10"/>
      <c r="J1220" s="10"/>
      <c r="K1220" s="10"/>
      <c r="L1220" s="10"/>
      <c r="M1220" s="10"/>
      <c r="N1220" s="10"/>
      <c r="O1220" s="10"/>
      <c r="P1220" s="10"/>
      <c r="Q1220" s="10"/>
      <c r="R1220" s="10"/>
      <c r="S1220" s="10"/>
      <c r="T1220" s="10"/>
      <c r="U1220" s="10"/>
      <c r="V1220" s="10"/>
      <c r="W1220" s="10"/>
      <c r="X1220" s="10"/>
      <c r="Y1220" s="10" t="str">
        <f>"725.11"</f>
        <v>725.11</v>
      </c>
      <c r="Z1220" s="10"/>
      <c r="AA1220" s="10"/>
      <c r="AB1220" s="10" t="str">
        <f>"574.46"</f>
        <v>574.46</v>
      </c>
      <c r="AC1220" s="10"/>
      <c r="AD1220" s="10"/>
      <c r="AE1220" s="10"/>
      <c r="AF1220" s="10"/>
      <c r="AG1220" s="10"/>
      <c r="AH1220" s="10"/>
      <c r="AI1220" s="10"/>
      <c r="AJ1220" s="10"/>
      <c r="AK1220" s="10"/>
      <c r="AL1220" s="10"/>
      <c r="AM1220" s="10"/>
      <c r="AN1220" s="10"/>
      <c r="AO1220" s="10"/>
    </row>
    <row r="1221" spans="1:41">
      <c r="A1221" s="8">
        <v>1219</v>
      </c>
      <c r="B1221" s="8">
        <v>10794</v>
      </c>
      <c r="C1221" s="8" t="s">
        <v>1414</v>
      </c>
      <c r="D1221" s="8" t="s">
        <v>19</v>
      </c>
      <c r="E1221" s="2" t="str">
        <f>"658.83"</f>
        <v>658.83</v>
      </c>
      <c r="F1221" s="9" t="s">
        <v>9</v>
      </c>
      <c r="G1221" s="9">
        <v>2017</v>
      </c>
      <c r="H1221" s="10" t="str">
        <f>"689.88"</f>
        <v>689.88</v>
      </c>
      <c r="I1221" s="10"/>
      <c r="J1221" s="10"/>
      <c r="K1221" s="10"/>
      <c r="L1221" s="10"/>
      <c r="M1221" s="10"/>
      <c r="N1221" s="10"/>
      <c r="O1221" s="10"/>
      <c r="P1221" s="10"/>
      <c r="Q1221" s="10"/>
      <c r="R1221" s="10"/>
      <c r="S1221" s="10"/>
      <c r="T1221" s="10"/>
      <c r="U1221" s="10"/>
      <c r="V1221" s="10"/>
      <c r="W1221" s="10"/>
      <c r="X1221" s="10"/>
      <c r="Y1221" s="10"/>
      <c r="Z1221" s="10"/>
      <c r="AA1221" s="10"/>
      <c r="AB1221" s="10" t="str">
        <f>"618.83"</f>
        <v>618.83</v>
      </c>
      <c r="AC1221" s="10"/>
      <c r="AD1221" s="10"/>
      <c r="AE1221" s="10"/>
      <c r="AF1221" s="10"/>
      <c r="AG1221" s="10"/>
      <c r="AH1221" s="10"/>
      <c r="AI1221" s="10"/>
      <c r="AJ1221" s="10"/>
      <c r="AK1221" s="10"/>
      <c r="AL1221" s="10"/>
      <c r="AM1221" s="10"/>
      <c r="AN1221" s="10"/>
      <c r="AO1221" s="10"/>
    </row>
    <row r="1222" spans="1:41">
      <c r="A1222" s="8">
        <v>1220</v>
      </c>
      <c r="B1222" s="8">
        <v>10894</v>
      </c>
      <c r="C1222" s="8" t="s">
        <v>1415</v>
      </c>
      <c r="D1222" s="8" t="s">
        <v>10</v>
      </c>
      <c r="E1222" s="2" t="str">
        <f>"658.94"</f>
        <v>658.94</v>
      </c>
      <c r="F1222" s="9" t="s">
        <v>9</v>
      </c>
      <c r="G1222" s="9">
        <v>2017</v>
      </c>
      <c r="H1222" s="10"/>
      <c r="I1222" s="10"/>
      <c r="J1222" s="10"/>
      <c r="K1222" s="10"/>
      <c r="L1222" s="10"/>
      <c r="M1222" s="10"/>
      <c r="N1222" s="10"/>
      <c r="O1222" s="10"/>
      <c r="P1222" s="10"/>
      <c r="Q1222" s="10" t="str">
        <f>"618.94"</f>
        <v>618.94</v>
      </c>
      <c r="R1222" s="10"/>
      <c r="S1222" s="10"/>
      <c r="T1222" s="10"/>
      <c r="U1222" s="10"/>
      <c r="V1222" s="10"/>
      <c r="W1222" s="10"/>
      <c r="X1222" s="10"/>
      <c r="Y1222" s="10"/>
      <c r="Z1222" s="10"/>
      <c r="AA1222" s="10"/>
      <c r="AB1222" s="10"/>
      <c r="AC1222" s="10"/>
      <c r="AD1222" s="10"/>
      <c r="AE1222" s="10"/>
      <c r="AF1222" s="10"/>
      <c r="AG1222" s="10"/>
      <c r="AH1222" s="10"/>
      <c r="AI1222" s="10"/>
      <c r="AJ1222" s="10"/>
      <c r="AK1222" s="10"/>
      <c r="AL1222" s="10"/>
      <c r="AM1222" s="10"/>
      <c r="AN1222" s="10"/>
      <c r="AO1222" s="10"/>
    </row>
    <row r="1223" spans="1:41">
      <c r="A1223" s="8">
        <v>1221</v>
      </c>
      <c r="B1223" s="8">
        <v>6582</v>
      </c>
      <c r="C1223" s="8" t="s">
        <v>1416</v>
      </c>
      <c r="D1223" s="8" t="s">
        <v>52</v>
      </c>
      <c r="E1223" s="2" t="str">
        <f>"660.24"</f>
        <v>660.24</v>
      </c>
      <c r="F1223" s="9" t="s">
        <v>11</v>
      </c>
      <c r="G1223" s="9">
        <v>2017</v>
      </c>
      <c r="H1223" s="10" t="str">
        <f>"620.24"</f>
        <v>620.24</v>
      </c>
      <c r="I1223" s="10"/>
      <c r="J1223" s="10"/>
      <c r="K1223" s="10"/>
      <c r="L1223" s="10"/>
      <c r="M1223" s="10"/>
      <c r="N1223" s="10"/>
      <c r="O1223" s="10"/>
      <c r="P1223" s="10"/>
      <c r="Q1223" s="10"/>
      <c r="R1223" s="10"/>
      <c r="S1223" s="10"/>
      <c r="T1223" s="10"/>
      <c r="U1223" s="10"/>
      <c r="V1223" s="10"/>
      <c r="W1223" s="10"/>
      <c r="X1223" s="10"/>
      <c r="Y1223" s="10"/>
      <c r="Z1223" s="10"/>
      <c r="AA1223" s="10"/>
      <c r="AB1223" s="10"/>
      <c r="AC1223" s="10"/>
      <c r="AD1223" s="10"/>
      <c r="AE1223" s="10"/>
      <c r="AF1223" s="10"/>
      <c r="AG1223" s="10"/>
      <c r="AH1223" s="10"/>
      <c r="AI1223" s="10"/>
      <c r="AJ1223" s="10"/>
      <c r="AK1223" s="10"/>
      <c r="AL1223" s="10"/>
      <c r="AM1223" s="10"/>
      <c r="AN1223" s="10"/>
      <c r="AO1223" s="10"/>
    </row>
    <row r="1224" spans="1:41">
      <c r="A1224" s="8">
        <v>1222</v>
      </c>
      <c r="B1224" s="8">
        <v>11226</v>
      </c>
      <c r="C1224" s="8" t="s">
        <v>1417</v>
      </c>
      <c r="D1224" s="8" t="s">
        <v>180</v>
      </c>
      <c r="E1224" s="2" t="str">
        <f>"660.49"</f>
        <v>660.49</v>
      </c>
      <c r="F1224" s="9"/>
      <c r="G1224" s="9">
        <v>2017</v>
      </c>
      <c r="H1224" s="10"/>
      <c r="I1224" s="10"/>
      <c r="J1224" s="10"/>
      <c r="K1224" s="10"/>
      <c r="L1224" s="10"/>
      <c r="M1224" s="10"/>
      <c r="N1224" s="10"/>
      <c r="O1224" s="10"/>
      <c r="P1224" s="10"/>
      <c r="Q1224" s="10"/>
      <c r="R1224" s="10"/>
      <c r="S1224" s="10"/>
      <c r="T1224" s="10"/>
      <c r="U1224" s="10" t="str">
        <f>"786.29"</f>
        <v>786.29</v>
      </c>
      <c r="V1224" s="10"/>
      <c r="W1224" s="10" t="str">
        <f>"534.68"</f>
        <v>534.68</v>
      </c>
      <c r="X1224" s="10"/>
      <c r="Y1224" s="10"/>
      <c r="Z1224" s="10"/>
      <c r="AA1224" s="10"/>
      <c r="AB1224" s="10"/>
      <c r="AC1224" s="10"/>
      <c r="AD1224" s="10"/>
      <c r="AE1224" s="10"/>
      <c r="AF1224" s="10"/>
      <c r="AG1224" s="10"/>
      <c r="AH1224" s="10"/>
      <c r="AI1224" s="10"/>
      <c r="AJ1224" s="10"/>
      <c r="AK1224" s="10"/>
      <c r="AL1224" s="10"/>
      <c r="AM1224" s="10"/>
      <c r="AN1224" s="10"/>
      <c r="AO1224" s="10"/>
    </row>
    <row r="1225" spans="1:41">
      <c r="A1225" s="8">
        <v>1223</v>
      </c>
      <c r="B1225" s="8">
        <v>10157</v>
      </c>
      <c r="C1225" s="8" t="s">
        <v>1418</v>
      </c>
      <c r="D1225" s="8" t="s">
        <v>10</v>
      </c>
      <c r="E1225" s="2" t="str">
        <f>"664.22"</f>
        <v>664.22</v>
      </c>
      <c r="F1225" s="9" t="s">
        <v>11</v>
      </c>
      <c r="G1225" s="9">
        <v>2017</v>
      </c>
      <c r="H1225" s="10" t="str">
        <f>"624.22"</f>
        <v>624.22</v>
      </c>
      <c r="I1225" s="10"/>
      <c r="J1225" s="10"/>
      <c r="K1225" s="10"/>
      <c r="L1225" s="10"/>
      <c r="M1225" s="10"/>
      <c r="N1225" s="10"/>
      <c r="O1225" s="10"/>
      <c r="P1225" s="10"/>
      <c r="Q1225" s="10"/>
      <c r="R1225" s="10"/>
      <c r="S1225" s="10"/>
      <c r="T1225" s="10"/>
      <c r="U1225" s="10"/>
      <c r="V1225" s="10"/>
      <c r="W1225" s="10"/>
      <c r="X1225" s="10"/>
      <c r="Y1225" s="10"/>
      <c r="Z1225" s="10"/>
      <c r="AA1225" s="10"/>
      <c r="AB1225" s="10"/>
      <c r="AC1225" s="10"/>
      <c r="AD1225" s="10"/>
      <c r="AE1225" s="10"/>
      <c r="AF1225" s="10"/>
      <c r="AG1225" s="10"/>
      <c r="AH1225" s="10"/>
      <c r="AI1225" s="10"/>
      <c r="AJ1225" s="10"/>
      <c r="AK1225" s="10"/>
      <c r="AL1225" s="10"/>
      <c r="AM1225" s="10"/>
      <c r="AN1225" s="10"/>
      <c r="AO1225" s="10"/>
    </row>
    <row r="1226" spans="1:41">
      <c r="A1226" s="8">
        <v>1224</v>
      </c>
      <c r="B1226" s="8">
        <v>11181</v>
      </c>
      <c r="C1226" s="8" t="s">
        <v>1419</v>
      </c>
      <c r="D1226" s="8" t="s">
        <v>19</v>
      </c>
      <c r="E1226" s="2" t="str">
        <f>"670.13"</f>
        <v>670.13</v>
      </c>
      <c r="F1226" s="9" t="s">
        <v>9</v>
      </c>
      <c r="G1226" s="9">
        <v>2017</v>
      </c>
      <c r="H1226" s="10"/>
      <c r="I1226" s="10"/>
      <c r="J1226" s="10"/>
      <c r="K1226" s="10"/>
      <c r="L1226" s="10"/>
      <c r="M1226" s="10"/>
      <c r="N1226" s="10"/>
      <c r="O1226" s="10"/>
      <c r="P1226" s="10"/>
      <c r="Q1226" s="10"/>
      <c r="R1226" s="10"/>
      <c r="S1226" s="10"/>
      <c r="T1226" s="10"/>
      <c r="U1226" s="10"/>
      <c r="V1226" s="10"/>
      <c r="W1226" s="10"/>
      <c r="X1226" s="10"/>
      <c r="Y1226" s="10"/>
      <c r="Z1226" s="10"/>
      <c r="AA1226" s="10"/>
      <c r="AB1226" s="10"/>
      <c r="AC1226" s="10"/>
      <c r="AD1226" s="10"/>
      <c r="AE1226" s="10"/>
      <c r="AF1226" s="10"/>
      <c r="AG1226" s="10"/>
      <c r="AH1226" s="10"/>
      <c r="AI1226" s="10"/>
      <c r="AJ1226" s="10"/>
      <c r="AK1226" s="10"/>
      <c r="AL1226" s="10"/>
      <c r="AM1226" s="10" t="str">
        <f>"630.13"</f>
        <v>630.13</v>
      </c>
      <c r="AN1226" s="10"/>
      <c r="AO1226" s="10"/>
    </row>
    <row r="1227" spans="1:41">
      <c r="A1227" s="8">
        <v>1225</v>
      </c>
      <c r="B1227" s="8">
        <v>10468</v>
      </c>
      <c r="C1227" s="8" t="s">
        <v>1420</v>
      </c>
      <c r="D1227" s="8" t="s">
        <v>19</v>
      </c>
      <c r="E1227" s="2" t="str">
        <f>"673.12"</f>
        <v>673.12</v>
      </c>
      <c r="F1227" s="9" t="s">
        <v>9</v>
      </c>
      <c r="G1227" s="9">
        <v>2017</v>
      </c>
      <c r="H1227" s="10" t="str">
        <f>"854.89"</f>
        <v>854.89</v>
      </c>
      <c r="I1227" s="10"/>
      <c r="J1227" s="10"/>
      <c r="K1227" s="10"/>
      <c r="L1227" s="10"/>
      <c r="M1227" s="10"/>
      <c r="N1227" s="10"/>
      <c r="O1227" s="10"/>
      <c r="P1227" s="10"/>
      <c r="Q1227" s="10"/>
      <c r="R1227" s="10"/>
      <c r="S1227" s="10"/>
      <c r="T1227" s="10"/>
      <c r="U1227" s="10"/>
      <c r="V1227" s="10"/>
      <c r="W1227" s="10"/>
      <c r="X1227" s="10"/>
      <c r="Y1227" s="10"/>
      <c r="Z1227" s="10"/>
      <c r="AA1227" s="10"/>
      <c r="AB1227" s="10" t="str">
        <f>"633.12"</f>
        <v>633.12</v>
      </c>
      <c r="AC1227" s="10"/>
      <c r="AD1227" s="10"/>
      <c r="AE1227" s="10"/>
      <c r="AF1227" s="10"/>
      <c r="AG1227" s="10"/>
      <c r="AH1227" s="10"/>
      <c r="AI1227" s="10"/>
      <c r="AJ1227" s="10"/>
      <c r="AK1227" s="10"/>
      <c r="AL1227" s="10"/>
      <c r="AM1227" s="10"/>
      <c r="AN1227" s="10"/>
      <c r="AO1227" s="10"/>
    </row>
    <row r="1228" spans="1:41">
      <c r="A1228" s="8">
        <v>1226</v>
      </c>
      <c r="B1228" s="8">
        <v>11134</v>
      </c>
      <c r="C1228" s="8" t="s">
        <v>1421</v>
      </c>
      <c r="D1228" s="8" t="s">
        <v>19</v>
      </c>
      <c r="E1228" s="2" t="str">
        <f>"673.28"</f>
        <v>673.28</v>
      </c>
      <c r="F1228" s="9"/>
      <c r="G1228" s="9">
        <v>2017</v>
      </c>
      <c r="H1228" s="10"/>
      <c r="I1228" s="10"/>
      <c r="J1228" s="10"/>
      <c r="K1228" s="10"/>
      <c r="L1228" s="10"/>
      <c r="M1228" s="10"/>
      <c r="N1228" s="10"/>
      <c r="O1228" s="10"/>
      <c r="P1228" s="10"/>
      <c r="Q1228" s="10"/>
      <c r="R1228" s="10"/>
      <c r="S1228" s="10"/>
      <c r="T1228" s="10"/>
      <c r="U1228" s="10"/>
      <c r="V1228" s="10"/>
      <c r="W1228" s="10"/>
      <c r="X1228" s="10"/>
      <c r="Y1228" s="10"/>
      <c r="Z1228" s="10"/>
      <c r="AA1228" s="10"/>
      <c r="AB1228" s="10" t="str">
        <f>"690.12"</f>
        <v>690.12</v>
      </c>
      <c r="AC1228" s="10"/>
      <c r="AD1228" s="10"/>
      <c r="AE1228" s="10"/>
      <c r="AF1228" s="10"/>
      <c r="AG1228" s="10"/>
      <c r="AH1228" s="10"/>
      <c r="AI1228" s="10"/>
      <c r="AJ1228" s="10"/>
      <c r="AK1228" s="10"/>
      <c r="AL1228" s="10"/>
      <c r="AM1228" s="10" t="str">
        <f>"656.44"</f>
        <v>656.44</v>
      </c>
      <c r="AN1228" s="10"/>
      <c r="AO1228" s="10"/>
    </row>
    <row r="1229" spans="1:41">
      <c r="A1229" s="8">
        <v>1227</v>
      </c>
      <c r="B1229" s="8">
        <v>10360</v>
      </c>
      <c r="C1229" s="8" t="s">
        <v>1422</v>
      </c>
      <c r="D1229" s="8" t="s">
        <v>12</v>
      </c>
      <c r="E1229" s="2" t="str">
        <f>"674.67"</f>
        <v>674.67</v>
      </c>
      <c r="F1229" s="9" t="s">
        <v>11</v>
      </c>
      <c r="G1229" s="9">
        <v>2017</v>
      </c>
      <c r="H1229" s="10" t="str">
        <f>"634.67"</f>
        <v>634.67</v>
      </c>
      <c r="I1229" s="10"/>
      <c r="J1229" s="10"/>
      <c r="K1229" s="10"/>
      <c r="L1229" s="10"/>
      <c r="M1229" s="10"/>
      <c r="N1229" s="10"/>
      <c r="O1229" s="10"/>
      <c r="P1229" s="10"/>
      <c r="Q1229" s="10"/>
      <c r="R1229" s="10"/>
      <c r="S1229" s="10"/>
      <c r="T1229" s="10"/>
      <c r="U1229" s="10"/>
      <c r="V1229" s="10"/>
      <c r="W1229" s="10"/>
      <c r="X1229" s="10"/>
      <c r="Y1229" s="10"/>
      <c r="Z1229" s="10"/>
      <c r="AA1229" s="10"/>
      <c r="AB1229" s="10"/>
      <c r="AC1229" s="10"/>
      <c r="AD1229" s="10"/>
      <c r="AE1229" s="10"/>
      <c r="AF1229" s="10"/>
      <c r="AG1229" s="10"/>
      <c r="AH1229" s="10"/>
      <c r="AI1229" s="10"/>
      <c r="AJ1229" s="10"/>
      <c r="AK1229" s="10"/>
      <c r="AL1229" s="10"/>
      <c r="AM1229" s="10"/>
      <c r="AN1229" s="10"/>
      <c r="AO1229" s="10"/>
    </row>
    <row r="1230" spans="1:41">
      <c r="A1230" s="8">
        <v>1228</v>
      </c>
      <c r="B1230" s="8">
        <v>10396</v>
      </c>
      <c r="C1230" s="8" t="s">
        <v>1423</v>
      </c>
      <c r="D1230" s="8" t="s">
        <v>19</v>
      </c>
      <c r="E1230" s="2" t="str">
        <f>"675.17"</f>
        <v>675.17</v>
      </c>
      <c r="F1230" s="9" t="s">
        <v>9</v>
      </c>
      <c r="G1230" s="9">
        <v>2017</v>
      </c>
      <c r="H1230" s="10" t="str">
        <f>"581.67"</f>
        <v>581.67</v>
      </c>
      <c r="I1230" s="10"/>
      <c r="J1230" s="10"/>
      <c r="K1230" s="10"/>
      <c r="L1230" s="10"/>
      <c r="M1230" s="10"/>
      <c r="N1230" s="10"/>
      <c r="O1230" s="10"/>
      <c r="P1230" s="10"/>
      <c r="Q1230" s="10"/>
      <c r="R1230" s="10"/>
      <c r="S1230" s="10"/>
      <c r="T1230" s="10"/>
      <c r="U1230" s="10"/>
      <c r="V1230" s="10"/>
      <c r="W1230" s="10"/>
      <c r="X1230" s="10"/>
      <c r="Y1230" s="10"/>
      <c r="Z1230" s="10"/>
      <c r="AA1230" s="10"/>
      <c r="AB1230" s="10" t="str">
        <f>"635.17"</f>
        <v>635.17</v>
      </c>
      <c r="AC1230" s="10"/>
      <c r="AD1230" s="10"/>
      <c r="AE1230" s="10"/>
      <c r="AF1230" s="10"/>
      <c r="AG1230" s="10"/>
      <c r="AH1230" s="10"/>
      <c r="AI1230" s="10"/>
      <c r="AJ1230" s="10"/>
      <c r="AK1230" s="10"/>
      <c r="AL1230" s="10"/>
      <c r="AM1230" s="10"/>
      <c r="AN1230" s="10"/>
      <c r="AO1230" s="10"/>
    </row>
    <row r="1231" spans="1:41">
      <c r="A1231" s="8">
        <v>1229</v>
      </c>
      <c r="B1231" s="8">
        <v>11243</v>
      </c>
      <c r="C1231" s="8" t="s">
        <v>1424</v>
      </c>
      <c r="D1231" s="8" t="s">
        <v>10</v>
      </c>
      <c r="E1231" s="2" t="str">
        <f>"676.18"</f>
        <v>676.18</v>
      </c>
      <c r="F1231" s="9"/>
      <c r="G1231" s="9">
        <v>2017</v>
      </c>
      <c r="H1231" s="10"/>
      <c r="I1231" s="10"/>
      <c r="J1231" s="10"/>
      <c r="K1231" s="10"/>
      <c r="L1231" s="10"/>
      <c r="M1231" s="10"/>
      <c r="N1231" s="10"/>
      <c r="O1231" s="10"/>
      <c r="P1231" s="10"/>
      <c r="Q1231" s="10" t="str">
        <f>"757.75"</f>
        <v>757.75</v>
      </c>
      <c r="R1231" s="10"/>
      <c r="S1231" s="10"/>
      <c r="T1231" s="10"/>
      <c r="U1231" s="10"/>
      <c r="V1231" s="10"/>
      <c r="W1231" s="10"/>
      <c r="X1231" s="10"/>
      <c r="Y1231" s="10"/>
      <c r="Z1231" s="10"/>
      <c r="AA1231" s="10"/>
      <c r="AB1231" s="10"/>
      <c r="AC1231" s="10"/>
      <c r="AD1231" s="10"/>
      <c r="AE1231" s="10" t="str">
        <f>"594.60"</f>
        <v>594.60</v>
      </c>
      <c r="AF1231" s="10"/>
      <c r="AG1231" s="10"/>
      <c r="AH1231" s="10"/>
      <c r="AI1231" s="10"/>
      <c r="AJ1231" s="10"/>
      <c r="AK1231" s="10"/>
      <c r="AL1231" s="10"/>
      <c r="AM1231" s="10"/>
      <c r="AN1231" s="10"/>
      <c r="AO1231" s="10"/>
    </row>
    <row r="1232" spans="1:41">
      <c r="A1232" s="8">
        <v>1230</v>
      </c>
      <c r="B1232" s="8">
        <v>11168</v>
      </c>
      <c r="C1232" s="8" t="s">
        <v>1425</v>
      </c>
      <c r="D1232" s="8" t="s">
        <v>19</v>
      </c>
      <c r="E1232" s="2" t="str">
        <f>"676.65"</f>
        <v>676.65</v>
      </c>
      <c r="F1232" s="9" t="s">
        <v>9</v>
      </c>
      <c r="G1232" s="9">
        <v>2017</v>
      </c>
      <c r="H1232" s="10"/>
      <c r="I1232" s="10"/>
      <c r="J1232" s="10"/>
      <c r="K1232" s="10"/>
      <c r="L1232" s="10"/>
      <c r="M1232" s="10"/>
      <c r="N1232" s="10"/>
      <c r="O1232" s="10"/>
      <c r="P1232" s="10"/>
      <c r="Q1232" s="10"/>
      <c r="R1232" s="10"/>
      <c r="S1232" s="10"/>
      <c r="T1232" s="10"/>
      <c r="U1232" s="10"/>
      <c r="V1232" s="10"/>
      <c r="W1232" s="10"/>
      <c r="X1232" s="10"/>
      <c r="Y1232" s="10"/>
      <c r="Z1232" s="10"/>
      <c r="AA1232" s="10"/>
      <c r="AB1232" s="10" t="str">
        <f>"636.65"</f>
        <v>636.65</v>
      </c>
      <c r="AC1232" s="10"/>
      <c r="AD1232" s="10"/>
      <c r="AE1232" s="10"/>
      <c r="AF1232" s="10"/>
      <c r="AG1232" s="10"/>
      <c r="AH1232" s="10"/>
      <c r="AI1232" s="10"/>
      <c r="AJ1232" s="10"/>
      <c r="AK1232" s="10"/>
      <c r="AL1232" s="10"/>
      <c r="AM1232" s="10"/>
      <c r="AN1232" s="10"/>
      <c r="AO1232" s="10"/>
    </row>
    <row r="1233" spans="1:41">
      <c r="A1233" s="8">
        <v>1231</v>
      </c>
      <c r="B1233" s="8">
        <v>11191</v>
      </c>
      <c r="C1233" s="8" t="s">
        <v>1426</v>
      </c>
      <c r="D1233" s="8" t="s">
        <v>19</v>
      </c>
      <c r="E1233" s="2" t="str">
        <f>"687.99"</f>
        <v>687.99</v>
      </c>
      <c r="F1233" s="9"/>
      <c r="G1233" s="9">
        <v>2017</v>
      </c>
      <c r="H1233" s="10"/>
      <c r="I1233" s="10"/>
      <c r="J1233" s="10"/>
      <c r="K1233" s="10"/>
      <c r="L1233" s="10"/>
      <c r="M1233" s="10"/>
      <c r="N1233" s="10"/>
      <c r="O1233" s="10"/>
      <c r="P1233" s="10"/>
      <c r="Q1233" s="10"/>
      <c r="R1233" s="10"/>
      <c r="S1233" s="10"/>
      <c r="T1233" s="10"/>
      <c r="U1233" s="10"/>
      <c r="V1233" s="10"/>
      <c r="W1233" s="10"/>
      <c r="X1233" s="10"/>
      <c r="Y1233" s="10" t="str">
        <f>"746.37"</f>
        <v>746.37</v>
      </c>
      <c r="Z1233" s="10"/>
      <c r="AA1233" s="10"/>
      <c r="AB1233" s="10" t="str">
        <f>"629.60"</f>
        <v>629.60</v>
      </c>
      <c r="AC1233" s="10"/>
      <c r="AD1233" s="10"/>
      <c r="AE1233" s="10"/>
      <c r="AF1233" s="10"/>
      <c r="AG1233" s="10"/>
      <c r="AH1233" s="10"/>
      <c r="AI1233" s="10"/>
      <c r="AJ1233" s="10"/>
      <c r="AK1233" s="10"/>
      <c r="AL1233" s="10"/>
      <c r="AM1233" s="10"/>
      <c r="AN1233" s="10"/>
      <c r="AO1233" s="10"/>
    </row>
    <row r="1234" spans="1:41">
      <c r="A1234" s="8">
        <v>1232</v>
      </c>
      <c r="B1234" s="8">
        <v>10721</v>
      </c>
      <c r="C1234" s="8" t="s">
        <v>1427</v>
      </c>
      <c r="D1234" s="8" t="s">
        <v>19</v>
      </c>
      <c r="E1234" s="2" t="str">
        <f>"691.69"</f>
        <v>691.69</v>
      </c>
      <c r="F1234" s="9" t="s">
        <v>9</v>
      </c>
      <c r="G1234" s="9">
        <v>2017</v>
      </c>
      <c r="H1234" s="10" t="str">
        <f>"1067.44"</f>
        <v>1067.44</v>
      </c>
      <c r="I1234" s="10"/>
      <c r="J1234" s="10"/>
      <c r="K1234" s="10"/>
      <c r="L1234" s="10"/>
      <c r="M1234" s="10"/>
      <c r="N1234" s="10"/>
      <c r="O1234" s="10"/>
      <c r="P1234" s="10"/>
      <c r="Q1234" s="10"/>
      <c r="R1234" s="10"/>
      <c r="S1234" s="10"/>
      <c r="T1234" s="10"/>
      <c r="U1234" s="10"/>
      <c r="V1234" s="10"/>
      <c r="W1234" s="10"/>
      <c r="X1234" s="10"/>
      <c r="Y1234" s="10"/>
      <c r="Z1234" s="10"/>
      <c r="AA1234" s="10"/>
      <c r="AB1234" s="10" t="str">
        <f>"651.69"</f>
        <v>651.69</v>
      </c>
      <c r="AC1234" s="10"/>
      <c r="AD1234" s="10"/>
      <c r="AE1234" s="10"/>
      <c r="AF1234" s="10"/>
      <c r="AG1234" s="10"/>
      <c r="AH1234" s="10"/>
      <c r="AI1234" s="10"/>
      <c r="AJ1234" s="10"/>
      <c r="AK1234" s="10"/>
      <c r="AL1234" s="10"/>
      <c r="AM1234" s="10"/>
      <c r="AN1234" s="10"/>
      <c r="AO1234" s="10"/>
    </row>
    <row r="1235" spans="1:41">
      <c r="A1235" s="8">
        <v>1233</v>
      </c>
      <c r="B1235" s="8">
        <v>11399</v>
      </c>
      <c r="C1235" s="8" t="s">
        <v>1428</v>
      </c>
      <c r="D1235" s="8" t="s">
        <v>10</v>
      </c>
      <c r="E1235" s="2" t="str">
        <f>"697.54"</f>
        <v>697.54</v>
      </c>
      <c r="F1235" s="9"/>
      <c r="G1235" s="9">
        <v>2017</v>
      </c>
      <c r="H1235" s="10"/>
      <c r="I1235" s="10"/>
      <c r="J1235" s="10"/>
      <c r="K1235" s="10"/>
      <c r="L1235" s="10"/>
      <c r="M1235" s="10"/>
      <c r="N1235" s="10"/>
      <c r="O1235" s="10"/>
      <c r="P1235" s="10"/>
      <c r="Q1235" s="10" t="str">
        <f>"797.02"</f>
        <v>797.02</v>
      </c>
      <c r="R1235" s="10"/>
      <c r="S1235" s="10"/>
      <c r="T1235" s="10"/>
      <c r="U1235" s="10"/>
      <c r="V1235" s="10"/>
      <c r="W1235" s="10"/>
      <c r="X1235" s="10"/>
      <c r="Y1235" s="10"/>
      <c r="Z1235" s="10"/>
      <c r="AA1235" s="10"/>
      <c r="AB1235" s="10"/>
      <c r="AC1235" s="10"/>
      <c r="AD1235" s="10"/>
      <c r="AE1235" s="10" t="str">
        <f>"598.05"</f>
        <v>598.05</v>
      </c>
      <c r="AF1235" s="10"/>
      <c r="AG1235" s="10"/>
      <c r="AH1235" s="10"/>
      <c r="AI1235" s="10"/>
      <c r="AJ1235" s="10"/>
      <c r="AK1235" s="10"/>
      <c r="AL1235" s="10"/>
      <c r="AM1235" s="10"/>
      <c r="AN1235" s="10"/>
      <c r="AO1235" s="10"/>
    </row>
    <row r="1236" spans="1:41">
      <c r="A1236" s="8">
        <v>1234</v>
      </c>
      <c r="B1236" s="8">
        <v>10906</v>
      </c>
      <c r="C1236" s="8" t="s">
        <v>1429</v>
      </c>
      <c r="D1236" s="8" t="s">
        <v>10</v>
      </c>
      <c r="E1236" s="2" t="str">
        <f>"701.00"</f>
        <v>701.00</v>
      </c>
      <c r="F1236" s="9" t="s">
        <v>11</v>
      </c>
      <c r="G1236" s="9">
        <v>2017</v>
      </c>
      <c r="H1236" s="10" t="str">
        <f>"661.00"</f>
        <v>661.00</v>
      </c>
      <c r="I1236" s="10"/>
      <c r="J1236" s="10"/>
      <c r="K1236" s="10"/>
      <c r="L1236" s="10"/>
      <c r="M1236" s="10"/>
      <c r="N1236" s="10"/>
      <c r="O1236" s="10"/>
      <c r="P1236" s="10"/>
      <c r="Q1236" s="10"/>
      <c r="R1236" s="10"/>
      <c r="S1236" s="10"/>
      <c r="T1236" s="10"/>
      <c r="U1236" s="10"/>
      <c r="V1236" s="10"/>
      <c r="W1236" s="10"/>
      <c r="X1236" s="10"/>
      <c r="Y1236" s="10"/>
      <c r="Z1236" s="10"/>
      <c r="AA1236" s="10"/>
      <c r="AB1236" s="10"/>
      <c r="AC1236" s="10"/>
      <c r="AD1236" s="10"/>
      <c r="AE1236" s="10"/>
      <c r="AF1236" s="10"/>
      <c r="AG1236" s="10"/>
      <c r="AH1236" s="10"/>
      <c r="AI1236" s="10"/>
      <c r="AJ1236" s="10"/>
      <c r="AK1236" s="10"/>
      <c r="AL1236" s="10"/>
      <c r="AM1236" s="10"/>
      <c r="AN1236" s="10"/>
      <c r="AO1236" s="10"/>
    </row>
    <row r="1237" spans="1:41">
      <c r="A1237" s="8">
        <v>1235</v>
      </c>
      <c r="B1237" s="8">
        <v>10842</v>
      </c>
      <c r="C1237" s="8" t="s">
        <v>1430</v>
      </c>
      <c r="D1237" s="8" t="s">
        <v>10</v>
      </c>
      <c r="E1237" s="2" t="str">
        <f>"714.71"</f>
        <v>714.71</v>
      </c>
      <c r="F1237" s="9" t="s">
        <v>9</v>
      </c>
      <c r="G1237" s="9">
        <v>2017</v>
      </c>
      <c r="H1237" s="10" t="str">
        <f>"660.47"</f>
        <v>660.47</v>
      </c>
      <c r="I1237" s="10"/>
      <c r="J1237" s="10"/>
      <c r="K1237" s="10"/>
      <c r="L1237" s="10"/>
      <c r="M1237" s="10"/>
      <c r="N1237" s="10"/>
      <c r="O1237" s="10"/>
      <c r="P1237" s="10"/>
      <c r="Q1237" s="10" t="str">
        <f>"674.71"</f>
        <v>674.71</v>
      </c>
      <c r="R1237" s="10"/>
      <c r="S1237" s="10"/>
      <c r="T1237" s="10"/>
      <c r="U1237" s="10"/>
      <c r="V1237" s="10"/>
      <c r="W1237" s="10"/>
      <c r="X1237" s="10"/>
      <c r="Y1237" s="10"/>
      <c r="Z1237" s="10"/>
      <c r="AA1237" s="10"/>
      <c r="AB1237" s="10"/>
      <c r="AC1237" s="10"/>
      <c r="AD1237" s="10"/>
      <c r="AE1237" s="10"/>
      <c r="AF1237" s="10"/>
      <c r="AG1237" s="10"/>
      <c r="AH1237" s="10"/>
      <c r="AI1237" s="10"/>
      <c r="AJ1237" s="10"/>
      <c r="AK1237" s="10"/>
      <c r="AL1237" s="10"/>
      <c r="AM1237" s="10"/>
      <c r="AN1237" s="10"/>
      <c r="AO1237" s="10"/>
    </row>
    <row r="1238" spans="1:41">
      <c r="A1238" s="8">
        <v>1236</v>
      </c>
      <c r="B1238" s="8">
        <v>11137</v>
      </c>
      <c r="C1238" s="8" t="s">
        <v>1431</v>
      </c>
      <c r="D1238" s="8" t="s">
        <v>19</v>
      </c>
      <c r="E1238" s="2" t="str">
        <f>"715.68"</f>
        <v>715.68</v>
      </c>
      <c r="F1238" s="9"/>
      <c r="G1238" s="9">
        <v>2017</v>
      </c>
      <c r="H1238" s="10"/>
      <c r="I1238" s="10"/>
      <c r="J1238" s="10"/>
      <c r="K1238" s="10"/>
      <c r="L1238" s="10"/>
      <c r="M1238" s="10"/>
      <c r="N1238" s="10"/>
      <c r="O1238" s="10"/>
      <c r="P1238" s="10"/>
      <c r="Q1238" s="10"/>
      <c r="R1238" s="10"/>
      <c r="S1238" s="10"/>
      <c r="T1238" s="10"/>
      <c r="U1238" s="10"/>
      <c r="V1238" s="10"/>
      <c r="W1238" s="10"/>
      <c r="X1238" s="10"/>
      <c r="Y1238" s="10"/>
      <c r="Z1238" s="10"/>
      <c r="AA1238" s="10"/>
      <c r="AB1238" s="10" t="str">
        <f>"884.48"</f>
        <v>884.48</v>
      </c>
      <c r="AC1238" s="10"/>
      <c r="AD1238" s="10"/>
      <c r="AE1238" s="10"/>
      <c r="AF1238" s="10"/>
      <c r="AG1238" s="10"/>
      <c r="AH1238" s="10"/>
      <c r="AI1238" s="10"/>
      <c r="AJ1238" s="10"/>
      <c r="AK1238" s="10"/>
      <c r="AL1238" s="10"/>
      <c r="AM1238" s="10" t="str">
        <f>"546.87"</f>
        <v>546.87</v>
      </c>
      <c r="AN1238" s="10"/>
      <c r="AO1238" s="10"/>
    </row>
    <row r="1239" spans="1:41">
      <c r="A1239" s="8">
        <v>1237</v>
      </c>
      <c r="B1239" s="8">
        <v>11251</v>
      </c>
      <c r="C1239" s="8" t="s">
        <v>1432</v>
      </c>
      <c r="D1239" s="8" t="s">
        <v>10</v>
      </c>
      <c r="E1239" s="2" t="str">
        <f>"719.57"</f>
        <v>719.57</v>
      </c>
      <c r="F1239" s="9"/>
      <c r="G1239" s="9">
        <v>2017</v>
      </c>
      <c r="H1239" s="10"/>
      <c r="I1239" s="10"/>
      <c r="J1239" s="10"/>
      <c r="K1239" s="10"/>
      <c r="L1239" s="10"/>
      <c r="M1239" s="10"/>
      <c r="N1239" s="10"/>
      <c r="O1239" s="10"/>
      <c r="P1239" s="10"/>
      <c r="Q1239" s="10" t="str">
        <f>"890.56"</f>
        <v>890.56</v>
      </c>
      <c r="R1239" s="10"/>
      <c r="S1239" s="10"/>
      <c r="T1239" s="10"/>
      <c r="U1239" s="10"/>
      <c r="V1239" s="10"/>
      <c r="W1239" s="10"/>
      <c r="X1239" s="10"/>
      <c r="Y1239" s="10"/>
      <c r="Z1239" s="10"/>
      <c r="AA1239" s="10"/>
      <c r="AB1239" s="10"/>
      <c r="AC1239" s="10"/>
      <c r="AD1239" s="10"/>
      <c r="AE1239" s="10"/>
      <c r="AF1239" s="10"/>
      <c r="AG1239" s="10"/>
      <c r="AH1239" s="10"/>
      <c r="AI1239" s="10"/>
      <c r="AJ1239" s="10"/>
      <c r="AK1239" s="10"/>
      <c r="AL1239" s="10"/>
      <c r="AM1239" s="10"/>
      <c r="AN1239" s="10" t="str">
        <f>"548.58"</f>
        <v>548.58</v>
      </c>
      <c r="AO1239" s="10"/>
    </row>
    <row r="1240" spans="1:41">
      <c r="A1240" s="8">
        <v>1238</v>
      </c>
      <c r="B1240" s="8">
        <v>10388</v>
      </c>
      <c r="C1240" s="8" t="s">
        <v>1433</v>
      </c>
      <c r="D1240" s="8" t="s">
        <v>19</v>
      </c>
      <c r="E1240" s="2" t="str">
        <f>"719.84"</f>
        <v>719.84</v>
      </c>
      <c r="F1240" s="9" t="s">
        <v>11</v>
      </c>
      <c r="G1240" s="9">
        <v>2017</v>
      </c>
      <c r="H1240" s="10" t="str">
        <f>"679.84"</f>
        <v>679.84</v>
      </c>
      <c r="I1240" s="10"/>
      <c r="J1240" s="10"/>
      <c r="K1240" s="10"/>
      <c r="L1240" s="10"/>
      <c r="M1240" s="10"/>
      <c r="N1240" s="10"/>
      <c r="O1240" s="10"/>
      <c r="P1240" s="10"/>
      <c r="Q1240" s="10"/>
      <c r="R1240" s="10"/>
      <c r="S1240" s="10"/>
      <c r="T1240" s="10"/>
      <c r="U1240" s="10"/>
      <c r="V1240" s="10"/>
      <c r="W1240" s="10"/>
      <c r="X1240" s="10"/>
      <c r="Y1240" s="10"/>
      <c r="Z1240" s="10"/>
      <c r="AA1240" s="10"/>
      <c r="AB1240" s="10"/>
      <c r="AC1240" s="10"/>
      <c r="AD1240" s="10"/>
      <c r="AE1240" s="10"/>
      <c r="AF1240" s="10"/>
      <c r="AG1240" s="10"/>
      <c r="AH1240" s="10"/>
      <c r="AI1240" s="10"/>
      <c r="AJ1240" s="10"/>
      <c r="AK1240" s="10"/>
      <c r="AL1240" s="10"/>
      <c r="AM1240" s="10"/>
      <c r="AN1240" s="10"/>
      <c r="AO1240" s="10"/>
    </row>
    <row r="1241" spans="1:41">
      <c r="A1241" s="8">
        <v>1239</v>
      </c>
      <c r="B1241" s="8">
        <v>1429</v>
      </c>
      <c r="C1241" s="8" t="s">
        <v>1434</v>
      </c>
      <c r="D1241" s="8" t="s">
        <v>93</v>
      </c>
      <c r="E1241" s="2" t="str">
        <f>"721.64"</f>
        <v>721.64</v>
      </c>
      <c r="F1241" s="9" t="s">
        <v>11</v>
      </c>
      <c r="G1241" s="9">
        <v>2017</v>
      </c>
      <c r="H1241" s="10" t="str">
        <f>"681.64"</f>
        <v>681.64</v>
      </c>
      <c r="I1241" s="10"/>
      <c r="J1241" s="10"/>
      <c r="K1241" s="10"/>
      <c r="L1241" s="10"/>
      <c r="M1241" s="10"/>
      <c r="N1241" s="10"/>
      <c r="O1241" s="10"/>
      <c r="P1241" s="10"/>
      <c r="Q1241" s="10"/>
      <c r="R1241" s="10"/>
      <c r="S1241" s="10"/>
      <c r="T1241" s="10"/>
      <c r="U1241" s="10"/>
      <c r="V1241" s="10"/>
      <c r="W1241" s="10"/>
      <c r="X1241" s="10"/>
      <c r="Y1241" s="10"/>
      <c r="Z1241" s="10"/>
      <c r="AA1241" s="10"/>
      <c r="AB1241" s="10"/>
      <c r="AC1241" s="10"/>
      <c r="AD1241" s="10"/>
      <c r="AE1241" s="10"/>
      <c r="AF1241" s="10"/>
      <c r="AG1241" s="10"/>
      <c r="AH1241" s="10"/>
      <c r="AI1241" s="10"/>
      <c r="AJ1241" s="10"/>
      <c r="AK1241" s="10"/>
      <c r="AL1241" s="10"/>
      <c r="AM1241" s="10"/>
      <c r="AN1241" s="10"/>
      <c r="AO1241" s="10"/>
    </row>
    <row r="1242" spans="1:41">
      <c r="A1242" s="8">
        <v>1240</v>
      </c>
      <c r="B1242" s="8">
        <v>11167</v>
      </c>
      <c r="C1242" s="8" t="s">
        <v>1435</v>
      </c>
      <c r="D1242" s="8" t="s">
        <v>19</v>
      </c>
      <c r="E1242" s="2" t="str">
        <f>"722.50"</f>
        <v>722.50</v>
      </c>
      <c r="F1242" s="9" t="s">
        <v>9</v>
      </c>
      <c r="G1242" s="9">
        <v>2017</v>
      </c>
      <c r="H1242" s="10"/>
      <c r="I1242" s="10"/>
      <c r="J1242" s="10"/>
      <c r="K1242" s="10"/>
      <c r="L1242" s="10"/>
      <c r="M1242" s="10"/>
      <c r="N1242" s="10"/>
      <c r="O1242" s="10"/>
      <c r="P1242" s="10"/>
      <c r="Q1242" s="10"/>
      <c r="R1242" s="10"/>
      <c r="S1242" s="10"/>
      <c r="T1242" s="10"/>
      <c r="U1242" s="10"/>
      <c r="V1242" s="10"/>
      <c r="W1242" s="10"/>
      <c r="X1242" s="10"/>
      <c r="Y1242" s="10"/>
      <c r="Z1242" s="10"/>
      <c r="AA1242" s="10"/>
      <c r="AB1242" s="10" t="str">
        <f>"682.50"</f>
        <v>682.50</v>
      </c>
      <c r="AC1242" s="10"/>
      <c r="AD1242" s="10"/>
      <c r="AE1242" s="10"/>
      <c r="AF1242" s="10"/>
      <c r="AG1242" s="10"/>
      <c r="AH1242" s="10"/>
      <c r="AI1242" s="10"/>
      <c r="AJ1242" s="10"/>
      <c r="AK1242" s="10"/>
      <c r="AL1242" s="10"/>
      <c r="AM1242" s="10"/>
      <c r="AN1242" s="10"/>
      <c r="AO1242" s="10"/>
    </row>
    <row r="1243" spans="1:41">
      <c r="A1243" s="8">
        <v>1241</v>
      </c>
      <c r="B1243" s="8">
        <v>11327</v>
      </c>
      <c r="C1243" s="8" t="s">
        <v>1436</v>
      </c>
      <c r="D1243" s="8" t="s">
        <v>50</v>
      </c>
      <c r="E1243" s="2" t="str">
        <f>"723.88"</f>
        <v>723.88</v>
      </c>
      <c r="F1243" s="9" t="s">
        <v>9</v>
      </c>
      <c r="G1243" s="9">
        <v>2017</v>
      </c>
      <c r="H1243" s="10"/>
      <c r="I1243" s="10"/>
      <c r="J1243" s="10"/>
      <c r="K1243" s="10"/>
      <c r="L1243" s="10"/>
      <c r="M1243" s="10"/>
      <c r="N1243" s="10"/>
      <c r="O1243" s="10"/>
      <c r="P1243" s="10"/>
      <c r="Q1243" s="10"/>
      <c r="R1243" s="10"/>
      <c r="S1243" s="10"/>
      <c r="T1243" s="10"/>
      <c r="U1243" s="10"/>
      <c r="V1243" s="10"/>
      <c r="W1243" s="10"/>
      <c r="X1243" s="10" t="str">
        <f>"683.88"</f>
        <v>683.88</v>
      </c>
      <c r="Y1243" s="10"/>
      <c r="Z1243" s="10"/>
      <c r="AA1243" s="10"/>
      <c r="AB1243" s="10"/>
      <c r="AC1243" s="10"/>
      <c r="AD1243" s="10"/>
      <c r="AE1243" s="10"/>
      <c r="AF1243" s="10"/>
      <c r="AG1243" s="10"/>
      <c r="AH1243" s="10"/>
      <c r="AI1243" s="10"/>
      <c r="AJ1243" s="10"/>
      <c r="AK1243" s="10"/>
      <c r="AL1243" s="10"/>
      <c r="AM1243" s="10"/>
      <c r="AN1243" s="10"/>
      <c r="AO1243" s="10"/>
    </row>
    <row r="1244" spans="1:41">
      <c r="A1244" s="8">
        <v>1242</v>
      </c>
      <c r="B1244" s="8">
        <v>10155</v>
      </c>
      <c r="C1244" s="8" t="s">
        <v>1437</v>
      </c>
      <c r="D1244" s="8" t="s">
        <v>10</v>
      </c>
      <c r="E1244" s="2" t="str">
        <f>"724.13"</f>
        <v>724.13</v>
      </c>
      <c r="F1244" s="9" t="s">
        <v>11</v>
      </c>
      <c r="G1244" s="9">
        <v>2017</v>
      </c>
      <c r="H1244" s="10" t="str">
        <f>"684.13"</f>
        <v>684.13</v>
      </c>
      <c r="I1244" s="10"/>
      <c r="J1244" s="10"/>
      <c r="K1244" s="10"/>
      <c r="L1244" s="10"/>
      <c r="M1244" s="10"/>
      <c r="N1244" s="10"/>
      <c r="O1244" s="10"/>
      <c r="P1244" s="10"/>
      <c r="Q1244" s="10"/>
      <c r="R1244" s="10"/>
      <c r="S1244" s="10"/>
      <c r="T1244" s="10"/>
      <c r="U1244" s="10"/>
      <c r="V1244" s="10"/>
      <c r="W1244" s="10"/>
      <c r="X1244" s="10"/>
      <c r="Y1244" s="10"/>
      <c r="Z1244" s="10"/>
      <c r="AA1244" s="10"/>
      <c r="AB1244" s="10"/>
      <c r="AC1244" s="10"/>
      <c r="AD1244" s="10"/>
      <c r="AE1244" s="10"/>
      <c r="AF1244" s="10"/>
      <c r="AG1244" s="10"/>
      <c r="AH1244" s="10"/>
      <c r="AI1244" s="10"/>
      <c r="AJ1244" s="10"/>
      <c r="AK1244" s="10"/>
      <c r="AL1244" s="10"/>
      <c r="AM1244" s="10"/>
      <c r="AN1244" s="10"/>
      <c r="AO1244" s="10"/>
    </row>
    <row r="1245" spans="1:41">
      <c r="A1245" s="8">
        <v>1243</v>
      </c>
      <c r="B1245" s="8">
        <v>11244</v>
      </c>
      <c r="C1245" s="8" t="s">
        <v>1438</v>
      </c>
      <c r="D1245" s="8" t="s">
        <v>10</v>
      </c>
      <c r="E1245" s="2" t="str">
        <f>"734.68"</f>
        <v>734.68</v>
      </c>
      <c r="F1245" s="9"/>
      <c r="G1245" s="9">
        <v>2017</v>
      </c>
      <c r="H1245" s="10"/>
      <c r="I1245" s="10"/>
      <c r="J1245" s="10"/>
      <c r="K1245" s="10"/>
      <c r="L1245" s="10"/>
      <c r="M1245" s="10"/>
      <c r="N1245" s="10"/>
      <c r="O1245" s="10"/>
      <c r="P1245" s="10"/>
      <c r="Q1245" s="10"/>
      <c r="R1245" s="10"/>
      <c r="S1245" s="10"/>
      <c r="T1245" s="10"/>
      <c r="U1245" s="10"/>
      <c r="V1245" s="10"/>
      <c r="W1245" s="10"/>
      <c r="X1245" s="10"/>
      <c r="Y1245" s="10"/>
      <c r="Z1245" s="10"/>
      <c r="AA1245" s="10"/>
      <c r="AB1245" s="10"/>
      <c r="AC1245" s="10"/>
      <c r="AD1245" s="10"/>
      <c r="AE1245" s="10" t="str">
        <f>"794.13"</f>
        <v>794.13</v>
      </c>
      <c r="AF1245" s="10"/>
      <c r="AG1245" s="10"/>
      <c r="AH1245" s="10"/>
      <c r="AI1245" s="10"/>
      <c r="AJ1245" s="10"/>
      <c r="AK1245" s="10"/>
      <c r="AL1245" s="10"/>
      <c r="AM1245" s="10"/>
      <c r="AN1245" s="10" t="str">
        <f>"675.23"</f>
        <v>675.23</v>
      </c>
      <c r="AO1245" s="10"/>
    </row>
    <row r="1246" spans="1:41">
      <c r="A1246" s="8">
        <v>1244</v>
      </c>
      <c r="B1246" s="8">
        <v>11177</v>
      </c>
      <c r="C1246" s="8" t="s">
        <v>1439</v>
      </c>
      <c r="D1246" s="8" t="s">
        <v>19</v>
      </c>
      <c r="E1246" s="2" t="str">
        <f>"736.24"</f>
        <v>736.24</v>
      </c>
      <c r="F1246" s="9" t="s">
        <v>9</v>
      </c>
      <c r="G1246" s="9">
        <v>2017</v>
      </c>
      <c r="H1246" s="10"/>
      <c r="I1246" s="10"/>
      <c r="J1246" s="10"/>
      <c r="K1246" s="10"/>
      <c r="L1246" s="10"/>
      <c r="M1246" s="10"/>
      <c r="N1246" s="10"/>
      <c r="O1246" s="10"/>
      <c r="P1246" s="10"/>
      <c r="Q1246" s="10"/>
      <c r="R1246" s="10"/>
      <c r="S1246" s="10"/>
      <c r="T1246" s="10"/>
      <c r="U1246" s="10"/>
      <c r="V1246" s="10"/>
      <c r="W1246" s="10"/>
      <c r="X1246" s="10"/>
      <c r="Y1246" s="10"/>
      <c r="Z1246" s="10"/>
      <c r="AA1246" s="10"/>
      <c r="AB1246" s="10" t="str">
        <f>"696.24"</f>
        <v>696.24</v>
      </c>
      <c r="AC1246" s="10"/>
      <c r="AD1246" s="10"/>
      <c r="AE1246" s="10"/>
      <c r="AF1246" s="10"/>
      <c r="AG1246" s="10"/>
      <c r="AH1246" s="10"/>
      <c r="AI1246" s="10"/>
      <c r="AJ1246" s="10"/>
      <c r="AK1246" s="10"/>
      <c r="AL1246" s="10"/>
      <c r="AM1246" s="10"/>
      <c r="AN1246" s="10"/>
      <c r="AO1246" s="10"/>
    </row>
    <row r="1247" spans="1:41">
      <c r="A1247" s="8">
        <v>1245</v>
      </c>
      <c r="B1247" s="8">
        <v>10124</v>
      </c>
      <c r="C1247" s="8" t="s">
        <v>1440</v>
      </c>
      <c r="D1247" s="8" t="s">
        <v>10</v>
      </c>
      <c r="E1247" s="2" t="str">
        <f>"742.22"</f>
        <v>742.22</v>
      </c>
      <c r="F1247" s="9" t="s">
        <v>11</v>
      </c>
      <c r="G1247" s="9">
        <v>2017</v>
      </c>
      <c r="H1247" s="10" t="str">
        <f>"702.22"</f>
        <v>702.22</v>
      </c>
      <c r="I1247" s="10"/>
      <c r="J1247" s="10"/>
      <c r="K1247" s="10"/>
      <c r="L1247" s="10"/>
      <c r="M1247" s="10"/>
      <c r="N1247" s="10"/>
      <c r="O1247" s="10"/>
      <c r="P1247" s="10"/>
      <c r="Q1247" s="10"/>
      <c r="R1247" s="10"/>
      <c r="S1247" s="10"/>
      <c r="T1247" s="10"/>
      <c r="U1247" s="10"/>
      <c r="V1247" s="10"/>
      <c r="W1247" s="10"/>
      <c r="X1247" s="10"/>
      <c r="Y1247" s="10"/>
      <c r="Z1247" s="10"/>
      <c r="AA1247" s="10"/>
      <c r="AB1247" s="10"/>
      <c r="AC1247" s="10"/>
      <c r="AD1247" s="10"/>
      <c r="AE1247" s="10"/>
      <c r="AF1247" s="10"/>
      <c r="AG1247" s="10"/>
      <c r="AH1247" s="10"/>
      <c r="AI1247" s="10"/>
      <c r="AJ1247" s="10"/>
      <c r="AK1247" s="10"/>
      <c r="AL1247" s="10"/>
      <c r="AM1247" s="10"/>
      <c r="AN1247" s="10"/>
      <c r="AO1247" s="10"/>
    </row>
    <row r="1248" spans="1:41">
      <c r="A1248" s="8">
        <v>1246</v>
      </c>
      <c r="B1248" s="8">
        <v>10867</v>
      </c>
      <c r="C1248" s="8" t="s">
        <v>1441</v>
      </c>
      <c r="D1248" s="8" t="s">
        <v>10</v>
      </c>
      <c r="E1248" s="2" t="str">
        <f>"742.39"</f>
        <v>742.39</v>
      </c>
      <c r="F1248" s="9" t="s">
        <v>9</v>
      </c>
      <c r="G1248" s="9">
        <v>2017</v>
      </c>
      <c r="H1248" s="10" t="str">
        <f>"711.70"</f>
        <v>711.70</v>
      </c>
      <c r="I1248" s="10"/>
      <c r="J1248" s="10"/>
      <c r="K1248" s="10"/>
      <c r="L1248" s="10"/>
      <c r="M1248" s="10"/>
      <c r="N1248" s="10"/>
      <c r="O1248" s="10"/>
      <c r="P1248" s="10"/>
      <c r="Q1248" s="10" t="str">
        <f>"702.39"</f>
        <v>702.39</v>
      </c>
      <c r="R1248" s="10"/>
      <c r="S1248" s="10"/>
      <c r="T1248" s="10"/>
      <c r="U1248" s="10"/>
      <c r="V1248" s="10"/>
      <c r="W1248" s="10"/>
      <c r="X1248" s="10"/>
      <c r="Y1248" s="10"/>
      <c r="Z1248" s="10"/>
      <c r="AA1248" s="10"/>
      <c r="AB1248" s="10"/>
      <c r="AC1248" s="10"/>
      <c r="AD1248" s="10"/>
      <c r="AE1248" s="10"/>
      <c r="AF1248" s="10"/>
      <c r="AG1248" s="10"/>
      <c r="AH1248" s="10"/>
      <c r="AI1248" s="10"/>
      <c r="AJ1248" s="10"/>
      <c r="AK1248" s="10"/>
      <c r="AL1248" s="10"/>
      <c r="AM1248" s="10"/>
      <c r="AN1248" s="10"/>
      <c r="AO1248" s="10"/>
    </row>
    <row r="1249" spans="1:41">
      <c r="A1249" s="8">
        <v>1247</v>
      </c>
      <c r="B1249" s="8">
        <v>11303</v>
      </c>
      <c r="C1249" s="8" t="s">
        <v>1442</v>
      </c>
      <c r="D1249" s="8" t="s">
        <v>10</v>
      </c>
      <c r="E1249" s="2" t="str">
        <f>"744.22"</f>
        <v>744.22</v>
      </c>
      <c r="F1249" s="9" t="s">
        <v>9</v>
      </c>
      <c r="G1249" s="9">
        <v>2017</v>
      </c>
      <c r="H1249" s="10"/>
      <c r="I1249" s="10"/>
      <c r="J1249" s="10"/>
      <c r="K1249" s="10"/>
      <c r="L1249" s="10"/>
      <c r="M1249" s="10"/>
      <c r="N1249" s="10"/>
      <c r="O1249" s="10"/>
      <c r="P1249" s="10"/>
      <c r="Q1249" s="10"/>
      <c r="R1249" s="10"/>
      <c r="S1249" s="10"/>
      <c r="T1249" s="10"/>
      <c r="U1249" s="10"/>
      <c r="V1249" s="10"/>
      <c r="W1249" s="10"/>
      <c r="X1249" s="10"/>
      <c r="Y1249" s="10"/>
      <c r="Z1249" s="10"/>
      <c r="AA1249" s="10"/>
      <c r="AB1249" s="10"/>
      <c r="AC1249" s="10"/>
      <c r="AD1249" s="10"/>
      <c r="AE1249" s="10"/>
      <c r="AF1249" s="10"/>
      <c r="AG1249" s="10"/>
      <c r="AH1249" s="10"/>
      <c r="AI1249" s="10"/>
      <c r="AJ1249" s="10"/>
      <c r="AK1249" s="10"/>
      <c r="AL1249" s="10"/>
      <c r="AM1249" s="10"/>
      <c r="AN1249" s="10" t="str">
        <f>"704.22"</f>
        <v>704.22</v>
      </c>
      <c r="AO1249" s="10"/>
    </row>
    <row r="1250" spans="1:41">
      <c r="A1250" s="8">
        <v>1248</v>
      </c>
      <c r="B1250" s="8">
        <v>11304</v>
      </c>
      <c r="C1250" s="8" t="s">
        <v>1443</v>
      </c>
      <c r="D1250" s="8" t="s">
        <v>10</v>
      </c>
      <c r="E1250" s="2" t="str">
        <f>"745.86"</f>
        <v>745.86</v>
      </c>
      <c r="F1250" s="9"/>
      <c r="G1250" s="9">
        <v>2017</v>
      </c>
      <c r="H1250" s="10"/>
      <c r="I1250" s="10"/>
      <c r="J1250" s="10"/>
      <c r="K1250" s="10"/>
      <c r="L1250" s="10"/>
      <c r="M1250" s="10"/>
      <c r="N1250" s="10"/>
      <c r="O1250" s="10"/>
      <c r="P1250" s="10"/>
      <c r="Q1250" s="10"/>
      <c r="R1250" s="10"/>
      <c r="S1250" s="10"/>
      <c r="T1250" s="10"/>
      <c r="U1250" s="10"/>
      <c r="V1250" s="10"/>
      <c r="W1250" s="10"/>
      <c r="X1250" s="10"/>
      <c r="Y1250" s="10"/>
      <c r="Z1250" s="10"/>
      <c r="AA1250" s="10"/>
      <c r="AB1250" s="10"/>
      <c r="AC1250" s="10"/>
      <c r="AD1250" s="10"/>
      <c r="AE1250" s="10" t="str">
        <f>"819.80"</f>
        <v>819.80</v>
      </c>
      <c r="AF1250" s="10"/>
      <c r="AG1250" s="10"/>
      <c r="AH1250" s="10"/>
      <c r="AI1250" s="10"/>
      <c r="AJ1250" s="10"/>
      <c r="AK1250" s="10"/>
      <c r="AL1250" s="10"/>
      <c r="AM1250" s="10"/>
      <c r="AN1250" s="10" t="str">
        <f>"671.92"</f>
        <v>671.92</v>
      </c>
      <c r="AO1250" s="10"/>
    </row>
    <row r="1251" spans="1:41">
      <c r="A1251" s="8">
        <v>1249</v>
      </c>
      <c r="B1251" s="8">
        <v>11158</v>
      </c>
      <c r="C1251" s="8" t="s">
        <v>1444</v>
      </c>
      <c r="D1251" s="8" t="s">
        <v>19</v>
      </c>
      <c r="E1251" s="2" t="str">
        <f>"747.01"</f>
        <v>747.01</v>
      </c>
      <c r="F1251" s="9" t="s">
        <v>9</v>
      </c>
      <c r="G1251" s="9">
        <v>2017</v>
      </c>
      <c r="H1251" s="10"/>
      <c r="I1251" s="10"/>
      <c r="J1251" s="10"/>
      <c r="K1251" s="10"/>
      <c r="L1251" s="10"/>
      <c r="M1251" s="10"/>
      <c r="N1251" s="10"/>
      <c r="O1251" s="10"/>
      <c r="P1251" s="10"/>
      <c r="Q1251" s="10"/>
      <c r="R1251" s="10"/>
      <c r="S1251" s="10"/>
      <c r="T1251" s="10"/>
      <c r="U1251" s="10"/>
      <c r="V1251" s="10"/>
      <c r="W1251" s="10"/>
      <c r="X1251" s="10"/>
      <c r="Y1251" s="10"/>
      <c r="Z1251" s="10"/>
      <c r="AA1251" s="10"/>
      <c r="AB1251" s="10" t="str">
        <f>"707.01"</f>
        <v>707.01</v>
      </c>
      <c r="AC1251" s="10"/>
      <c r="AD1251" s="10"/>
      <c r="AE1251" s="10"/>
      <c r="AF1251" s="10"/>
      <c r="AG1251" s="10"/>
      <c r="AH1251" s="10"/>
      <c r="AI1251" s="10"/>
      <c r="AJ1251" s="10"/>
      <c r="AK1251" s="10"/>
      <c r="AL1251" s="10"/>
      <c r="AM1251" s="10"/>
      <c r="AN1251" s="10"/>
      <c r="AO1251" s="10"/>
    </row>
    <row r="1252" spans="1:41">
      <c r="A1252" s="8">
        <v>1250</v>
      </c>
      <c r="B1252" s="8">
        <v>11306</v>
      </c>
      <c r="C1252" s="8" t="s">
        <v>95</v>
      </c>
      <c r="D1252" s="8"/>
      <c r="E1252" s="2" t="str">
        <f>"752.02"</f>
        <v>752.02</v>
      </c>
      <c r="F1252" s="9" t="s">
        <v>9</v>
      </c>
      <c r="G1252" s="9"/>
      <c r="H1252" s="10"/>
      <c r="I1252" s="10"/>
      <c r="J1252" s="10"/>
      <c r="K1252" s="10"/>
      <c r="L1252" s="10"/>
      <c r="M1252" s="10"/>
      <c r="N1252" s="10"/>
      <c r="O1252" s="10"/>
      <c r="P1252" s="10"/>
      <c r="Q1252" s="10"/>
      <c r="R1252" s="10"/>
      <c r="S1252" s="10"/>
      <c r="T1252" s="10"/>
      <c r="U1252" s="10"/>
      <c r="V1252" s="10"/>
      <c r="W1252" s="10"/>
      <c r="X1252" s="10"/>
      <c r="Y1252" s="10"/>
      <c r="Z1252" s="10"/>
      <c r="AA1252" s="10"/>
      <c r="AB1252" s="10"/>
      <c r="AC1252" s="10"/>
      <c r="AD1252" s="10"/>
      <c r="AE1252" s="10"/>
      <c r="AF1252" s="10"/>
      <c r="AG1252" s="10"/>
      <c r="AH1252" s="10"/>
      <c r="AI1252" s="10"/>
      <c r="AJ1252" s="10"/>
      <c r="AK1252" s="10"/>
      <c r="AL1252" s="10"/>
      <c r="AM1252" s="10"/>
      <c r="AN1252" s="10" t="str">
        <f>"712.02"</f>
        <v>712.02</v>
      </c>
      <c r="AO1252" s="10"/>
    </row>
    <row r="1253" spans="1:41">
      <c r="A1253" s="8">
        <v>1251</v>
      </c>
      <c r="B1253" s="8">
        <v>10789</v>
      </c>
      <c r="C1253" s="8" t="s">
        <v>1445</v>
      </c>
      <c r="D1253" s="8" t="s">
        <v>19</v>
      </c>
      <c r="E1253" s="2" t="str">
        <f>"752.42"</f>
        <v>752.42</v>
      </c>
      <c r="F1253" s="9"/>
      <c r="G1253" s="9">
        <v>2017</v>
      </c>
      <c r="H1253" s="10" t="str">
        <f>"1392.64"</f>
        <v>1392.64</v>
      </c>
      <c r="I1253" s="10"/>
      <c r="J1253" s="10"/>
      <c r="K1253" s="10"/>
      <c r="L1253" s="10"/>
      <c r="M1253" s="10"/>
      <c r="N1253" s="10"/>
      <c r="O1253" s="10"/>
      <c r="P1253" s="10"/>
      <c r="Q1253" s="10"/>
      <c r="R1253" s="10"/>
      <c r="S1253" s="10"/>
      <c r="T1253" s="10"/>
      <c r="U1253" s="10"/>
      <c r="V1253" s="10"/>
      <c r="W1253" s="10"/>
      <c r="X1253" s="10"/>
      <c r="Y1253" s="10" t="str">
        <f>"832.17"</f>
        <v>832.17</v>
      </c>
      <c r="Z1253" s="10"/>
      <c r="AA1253" s="10"/>
      <c r="AB1253" s="10" t="str">
        <f>"672.67"</f>
        <v>672.67</v>
      </c>
      <c r="AC1253" s="10"/>
      <c r="AD1253" s="10"/>
      <c r="AE1253" s="10"/>
      <c r="AF1253" s="10"/>
      <c r="AG1253" s="10"/>
      <c r="AH1253" s="10"/>
      <c r="AI1253" s="10"/>
      <c r="AJ1253" s="10"/>
      <c r="AK1253" s="10"/>
      <c r="AL1253" s="10"/>
      <c r="AM1253" s="10"/>
      <c r="AN1253" s="10"/>
      <c r="AO1253" s="10"/>
    </row>
    <row r="1254" spans="1:41">
      <c r="A1254" s="8">
        <v>1252</v>
      </c>
      <c r="B1254" s="8">
        <v>11136</v>
      </c>
      <c r="C1254" s="8" t="s">
        <v>1446</v>
      </c>
      <c r="D1254" s="8" t="s">
        <v>19</v>
      </c>
      <c r="E1254" s="2" t="str">
        <f>"753.03"</f>
        <v>753.03</v>
      </c>
      <c r="F1254" s="9"/>
      <c r="G1254" s="9">
        <v>2017</v>
      </c>
      <c r="H1254" s="10"/>
      <c r="I1254" s="10"/>
      <c r="J1254" s="10"/>
      <c r="K1254" s="10"/>
      <c r="L1254" s="10"/>
      <c r="M1254" s="10"/>
      <c r="N1254" s="10"/>
      <c r="O1254" s="10"/>
      <c r="P1254" s="10"/>
      <c r="Q1254" s="10"/>
      <c r="R1254" s="10"/>
      <c r="S1254" s="10"/>
      <c r="T1254" s="10"/>
      <c r="U1254" s="10"/>
      <c r="V1254" s="10"/>
      <c r="W1254" s="10"/>
      <c r="X1254" s="10"/>
      <c r="Y1254" s="10"/>
      <c r="Z1254" s="10"/>
      <c r="AA1254" s="10"/>
      <c r="AB1254" s="10" t="str">
        <f>"854.41"</f>
        <v>854.41</v>
      </c>
      <c r="AC1254" s="10"/>
      <c r="AD1254" s="10"/>
      <c r="AE1254" s="10"/>
      <c r="AF1254" s="10"/>
      <c r="AG1254" s="10"/>
      <c r="AH1254" s="10"/>
      <c r="AI1254" s="10"/>
      <c r="AJ1254" s="10"/>
      <c r="AK1254" s="10"/>
      <c r="AL1254" s="10"/>
      <c r="AM1254" s="10" t="str">
        <f>"651.65"</f>
        <v>651.65</v>
      </c>
      <c r="AN1254" s="10"/>
      <c r="AO1254" s="10"/>
    </row>
    <row r="1255" spans="1:41">
      <c r="A1255" s="8">
        <v>1253</v>
      </c>
      <c r="B1255" s="8">
        <v>11160</v>
      </c>
      <c r="C1255" s="8" t="s">
        <v>1447</v>
      </c>
      <c r="D1255" s="8" t="s">
        <v>19</v>
      </c>
      <c r="E1255" s="2" t="str">
        <f>"754.62"</f>
        <v>754.62</v>
      </c>
      <c r="F1255" s="9" t="s">
        <v>9</v>
      </c>
      <c r="G1255" s="9">
        <v>2017</v>
      </c>
      <c r="H1255" s="10"/>
      <c r="I1255" s="10"/>
      <c r="J1255" s="10"/>
      <c r="K1255" s="10"/>
      <c r="L1255" s="10"/>
      <c r="M1255" s="10"/>
      <c r="N1255" s="10"/>
      <c r="O1255" s="10"/>
      <c r="P1255" s="10"/>
      <c r="Q1255" s="10"/>
      <c r="R1255" s="10"/>
      <c r="S1255" s="10"/>
      <c r="T1255" s="10"/>
      <c r="U1255" s="10"/>
      <c r="V1255" s="10"/>
      <c r="W1255" s="10"/>
      <c r="X1255" s="10"/>
      <c r="Y1255" s="10"/>
      <c r="Z1255" s="10"/>
      <c r="AA1255" s="10"/>
      <c r="AB1255" s="10" t="str">
        <f>"714.62"</f>
        <v>714.62</v>
      </c>
      <c r="AC1255" s="10"/>
      <c r="AD1255" s="10"/>
      <c r="AE1255" s="10"/>
      <c r="AF1255" s="10"/>
      <c r="AG1255" s="10"/>
      <c r="AH1255" s="10"/>
      <c r="AI1255" s="10"/>
      <c r="AJ1255" s="10"/>
      <c r="AK1255" s="10"/>
      <c r="AL1255" s="10"/>
      <c r="AM1255" s="10"/>
      <c r="AN1255" s="10"/>
      <c r="AO1255" s="10"/>
    </row>
    <row r="1256" spans="1:41">
      <c r="A1256" s="8">
        <v>1254</v>
      </c>
      <c r="B1256" s="8">
        <v>11202</v>
      </c>
      <c r="C1256" s="8" t="s">
        <v>1448</v>
      </c>
      <c r="D1256" s="8" t="s">
        <v>19</v>
      </c>
      <c r="E1256" s="2" t="str">
        <f>"757.03"</f>
        <v>757.03</v>
      </c>
      <c r="F1256" s="9" t="s">
        <v>9</v>
      </c>
      <c r="G1256" s="9">
        <v>2017</v>
      </c>
      <c r="H1256" s="10"/>
      <c r="I1256" s="10"/>
      <c r="J1256" s="10"/>
      <c r="K1256" s="10"/>
      <c r="L1256" s="10"/>
      <c r="M1256" s="10"/>
      <c r="N1256" s="10"/>
      <c r="O1256" s="10"/>
      <c r="P1256" s="10"/>
      <c r="Q1256" s="10"/>
      <c r="R1256" s="10"/>
      <c r="S1256" s="10"/>
      <c r="T1256" s="10"/>
      <c r="U1256" s="10"/>
      <c r="V1256" s="10"/>
      <c r="W1256" s="10"/>
      <c r="X1256" s="10"/>
      <c r="Y1256" s="10"/>
      <c r="Z1256" s="10"/>
      <c r="AA1256" s="10"/>
      <c r="AB1256" s="10" t="str">
        <f>"717.03"</f>
        <v>717.03</v>
      </c>
      <c r="AC1256" s="10"/>
      <c r="AD1256" s="10"/>
      <c r="AE1256" s="10"/>
      <c r="AF1256" s="10"/>
      <c r="AG1256" s="10"/>
      <c r="AH1256" s="10"/>
      <c r="AI1256" s="10"/>
      <c r="AJ1256" s="10"/>
      <c r="AK1256" s="10"/>
      <c r="AL1256" s="10"/>
      <c r="AM1256" s="10"/>
      <c r="AN1256" s="10"/>
      <c r="AO1256" s="10"/>
    </row>
    <row r="1257" spans="1:41">
      <c r="A1257" s="8">
        <v>1255</v>
      </c>
      <c r="B1257" s="8">
        <v>11403</v>
      </c>
      <c r="C1257" s="8" t="s">
        <v>1449</v>
      </c>
      <c r="D1257" s="8" t="s">
        <v>50</v>
      </c>
      <c r="E1257" s="2" t="str">
        <f>"795.12"</f>
        <v>795.12</v>
      </c>
      <c r="F1257" s="9" t="s">
        <v>9</v>
      </c>
      <c r="G1257" s="9">
        <v>2017</v>
      </c>
      <c r="H1257" s="10"/>
      <c r="I1257" s="10"/>
      <c r="J1257" s="10"/>
      <c r="K1257" s="10"/>
      <c r="L1257" s="10"/>
      <c r="M1257" s="10"/>
      <c r="N1257" s="10"/>
      <c r="O1257" s="10"/>
      <c r="P1257" s="10"/>
      <c r="Q1257" s="10"/>
      <c r="R1257" s="10"/>
      <c r="S1257" s="10"/>
      <c r="T1257" s="10"/>
      <c r="U1257" s="10" t="str">
        <f>"755.12"</f>
        <v>755.12</v>
      </c>
      <c r="V1257" s="10"/>
      <c r="W1257" s="10"/>
      <c r="X1257" s="10"/>
      <c r="Y1257" s="10"/>
      <c r="Z1257" s="10"/>
      <c r="AA1257" s="10"/>
      <c r="AB1257" s="10"/>
      <c r="AC1257" s="10"/>
      <c r="AD1257" s="10"/>
      <c r="AE1257" s="10"/>
      <c r="AF1257" s="10"/>
      <c r="AG1257" s="10"/>
      <c r="AH1257" s="10"/>
      <c r="AI1257" s="10"/>
      <c r="AJ1257" s="10"/>
      <c r="AK1257" s="10"/>
      <c r="AL1257" s="10"/>
      <c r="AM1257" s="10"/>
      <c r="AN1257" s="10"/>
      <c r="AO1257" s="10"/>
    </row>
    <row r="1258" spans="1:41">
      <c r="A1258" s="8">
        <v>1256</v>
      </c>
      <c r="B1258" s="8">
        <v>3975</v>
      </c>
      <c r="C1258" s="8" t="s">
        <v>1450</v>
      </c>
      <c r="D1258" s="8" t="s">
        <v>1451</v>
      </c>
      <c r="E1258" s="2" t="str">
        <f>"798.02"</f>
        <v>798.02</v>
      </c>
      <c r="F1258" s="9" t="s">
        <v>11</v>
      </c>
      <c r="G1258" s="9">
        <v>2017</v>
      </c>
      <c r="H1258" s="10" t="str">
        <f>"758.02"</f>
        <v>758.02</v>
      </c>
      <c r="I1258" s="10"/>
      <c r="J1258" s="10"/>
      <c r="K1258" s="10"/>
      <c r="L1258" s="10"/>
      <c r="M1258" s="10"/>
      <c r="N1258" s="10"/>
      <c r="O1258" s="10"/>
      <c r="P1258" s="10"/>
      <c r="Q1258" s="10"/>
      <c r="R1258" s="10"/>
      <c r="S1258" s="10"/>
      <c r="T1258" s="10"/>
      <c r="U1258" s="10"/>
      <c r="V1258" s="10"/>
      <c r="W1258" s="10"/>
      <c r="X1258" s="10"/>
      <c r="Y1258" s="10"/>
      <c r="Z1258" s="10"/>
      <c r="AA1258" s="10"/>
      <c r="AB1258" s="10"/>
      <c r="AC1258" s="10"/>
      <c r="AD1258" s="10"/>
      <c r="AE1258" s="10"/>
      <c r="AF1258" s="10"/>
      <c r="AG1258" s="10"/>
      <c r="AH1258" s="10"/>
      <c r="AI1258" s="10"/>
      <c r="AJ1258" s="10"/>
      <c r="AK1258" s="10"/>
      <c r="AL1258" s="10"/>
      <c r="AM1258" s="10"/>
      <c r="AN1258" s="10"/>
      <c r="AO1258" s="10"/>
    </row>
    <row r="1259" spans="1:41">
      <c r="A1259" s="8">
        <v>1257</v>
      </c>
      <c r="B1259" s="8">
        <v>10798</v>
      </c>
      <c r="C1259" s="8" t="s">
        <v>1452</v>
      </c>
      <c r="D1259" s="8" t="s">
        <v>19</v>
      </c>
      <c r="E1259" s="2" t="str">
        <f>"798.99"</f>
        <v>798.99</v>
      </c>
      <c r="F1259" s="9" t="s">
        <v>9</v>
      </c>
      <c r="G1259" s="9">
        <v>2017</v>
      </c>
      <c r="H1259" s="10" t="str">
        <f>"1210.05"</f>
        <v>1210.05</v>
      </c>
      <c r="I1259" s="10"/>
      <c r="J1259" s="10"/>
      <c r="K1259" s="10"/>
      <c r="L1259" s="10"/>
      <c r="M1259" s="10"/>
      <c r="N1259" s="10"/>
      <c r="O1259" s="10"/>
      <c r="P1259" s="10"/>
      <c r="Q1259" s="10"/>
      <c r="R1259" s="10"/>
      <c r="S1259" s="10"/>
      <c r="T1259" s="10"/>
      <c r="U1259" s="10"/>
      <c r="V1259" s="10"/>
      <c r="W1259" s="10"/>
      <c r="X1259" s="10"/>
      <c r="Y1259" s="10"/>
      <c r="Z1259" s="10"/>
      <c r="AA1259" s="10"/>
      <c r="AB1259" s="10" t="str">
        <f>"758.99"</f>
        <v>758.99</v>
      </c>
      <c r="AC1259" s="10"/>
      <c r="AD1259" s="10"/>
      <c r="AE1259" s="10"/>
      <c r="AF1259" s="10"/>
      <c r="AG1259" s="10"/>
      <c r="AH1259" s="10"/>
      <c r="AI1259" s="10"/>
      <c r="AJ1259" s="10"/>
      <c r="AK1259" s="10"/>
      <c r="AL1259" s="10"/>
      <c r="AM1259" s="10"/>
      <c r="AN1259" s="10"/>
      <c r="AO1259" s="10"/>
    </row>
    <row r="1260" spans="1:41">
      <c r="A1260" s="8">
        <v>1258</v>
      </c>
      <c r="B1260" s="8">
        <v>11190</v>
      </c>
      <c r="C1260" s="8" t="s">
        <v>1453</v>
      </c>
      <c r="D1260" s="8" t="s">
        <v>19</v>
      </c>
      <c r="E1260" s="2" t="str">
        <f>"805.11"</f>
        <v>805.11</v>
      </c>
      <c r="F1260" s="9" t="s">
        <v>9</v>
      </c>
      <c r="G1260" s="9">
        <v>2017</v>
      </c>
      <c r="H1260" s="10"/>
      <c r="I1260" s="10"/>
      <c r="J1260" s="10"/>
      <c r="K1260" s="10"/>
      <c r="L1260" s="10"/>
      <c r="M1260" s="10"/>
      <c r="N1260" s="10"/>
      <c r="O1260" s="10"/>
      <c r="P1260" s="10"/>
      <c r="Q1260" s="10"/>
      <c r="R1260" s="10"/>
      <c r="S1260" s="10"/>
      <c r="T1260" s="10"/>
      <c r="U1260" s="10"/>
      <c r="V1260" s="10"/>
      <c r="W1260" s="10"/>
      <c r="X1260" s="10"/>
      <c r="Y1260" s="10"/>
      <c r="Z1260" s="10"/>
      <c r="AA1260" s="10"/>
      <c r="AB1260" s="10" t="str">
        <f>"765.11"</f>
        <v>765.11</v>
      </c>
      <c r="AC1260" s="10"/>
      <c r="AD1260" s="10"/>
      <c r="AE1260" s="10"/>
      <c r="AF1260" s="10"/>
      <c r="AG1260" s="10"/>
      <c r="AH1260" s="10"/>
      <c r="AI1260" s="10"/>
      <c r="AJ1260" s="10"/>
      <c r="AK1260" s="10"/>
      <c r="AL1260" s="10"/>
      <c r="AM1260" s="10"/>
      <c r="AN1260" s="10"/>
      <c r="AO1260" s="10"/>
    </row>
    <row r="1261" spans="1:41">
      <c r="A1261" s="8">
        <v>1259</v>
      </c>
      <c r="B1261" s="8">
        <v>10688</v>
      </c>
      <c r="C1261" s="8" t="s">
        <v>1454</v>
      </c>
      <c r="D1261" s="8" t="s">
        <v>90</v>
      </c>
      <c r="E1261" s="2" t="str">
        <f>"810.61"</f>
        <v>810.61</v>
      </c>
      <c r="F1261" s="9"/>
      <c r="G1261" s="9">
        <v>2017</v>
      </c>
      <c r="H1261" s="10"/>
      <c r="I1261" s="10"/>
      <c r="J1261" s="10"/>
      <c r="K1261" s="10"/>
      <c r="L1261" s="10"/>
      <c r="M1261" s="10"/>
      <c r="N1261" s="10" t="str">
        <f>"911.11"</f>
        <v>911.11</v>
      </c>
      <c r="O1261" s="10"/>
      <c r="P1261" s="10" t="str">
        <f>"710.10"</f>
        <v>710.10</v>
      </c>
      <c r="Q1261" s="10"/>
      <c r="R1261" s="10"/>
      <c r="S1261" s="10"/>
      <c r="T1261" s="10"/>
      <c r="U1261" s="10"/>
      <c r="V1261" s="10"/>
      <c r="W1261" s="10"/>
      <c r="X1261" s="10"/>
      <c r="Y1261" s="10"/>
      <c r="Z1261" s="10"/>
      <c r="AA1261" s="10"/>
      <c r="AB1261" s="10"/>
      <c r="AC1261" s="10"/>
      <c r="AD1261" s="10"/>
      <c r="AE1261" s="10"/>
      <c r="AF1261" s="10"/>
      <c r="AG1261" s="10"/>
      <c r="AH1261" s="10"/>
      <c r="AI1261" s="10"/>
      <c r="AJ1261" s="10"/>
      <c r="AK1261" s="10"/>
      <c r="AL1261" s="10"/>
      <c r="AM1261" s="10"/>
      <c r="AN1261" s="10"/>
      <c r="AO1261" s="10"/>
    </row>
    <row r="1262" spans="1:41">
      <c r="A1262" s="8">
        <v>1260</v>
      </c>
      <c r="B1262" s="8">
        <v>5766</v>
      </c>
      <c r="C1262" s="8" t="s">
        <v>1455</v>
      </c>
      <c r="D1262" s="8" t="s">
        <v>65</v>
      </c>
      <c r="E1262" s="2" t="str">
        <f>"822.07"</f>
        <v>822.07</v>
      </c>
      <c r="F1262" s="9" t="s">
        <v>11</v>
      </c>
      <c r="G1262" s="9">
        <v>2017</v>
      </c>
      <c r="H1262" s="10" t="str">
        <f>"782.07"</f>
        <v>782.07</v>
      </c>
      <c r="I1262" s="10"/>
      <c r="J1262" s="10"/>
      <c r="K1262" s="10"/>
      <c r="L1262" s="10"/>
      <c r="M1262" s="10"/>
      <c r="N1262" s="10"/>
      <c r="O1262" s="10"/>
      <c r="P1262" s="10"/>
      <c r="Q1262" s="10"/>
      <c r="R1262" s="10"/>
      <c r="S1262" s="10"/>
      <c r="T1262" s="10"/>
      <c r="U1262" s="10"/>
      <c r="V1262" s="10"/>
      <c r="W1262" s="10"/>
      <c r="X1262" s="10"/>
      <c r="Y1262" s="10"/>
      <c r="Z1262" s="10"/>
      <c r="AA1262" s="10"/>
      <c r="AB1262" s="10"/>
      <c r="AC1262" s="10"/>
      <c r="AD1262" s="10"/>
      <c r="AE1262" s="10"/>
      <c r="AF1262" s="10"/>
      <c r="AG1262" s="10"/>
      <c r="AH1262" s="10"/>
      <c r="AI1262" s="10"/>
      <c r="AJ1262" s="10"/>
      <c r="AK1262" s="10"/>
      <c r="AL1262" s="10"/>
      <c r="AM1262" s="10"/>
      <c r="AN1262" s="10"/>
      <c r="AO1262" s="10"/>
    </row>
    <row r="1263" spans="1:41">
      <c r="A1263" s="8">
        <v>1261</v>
      </c>
      <c r="B1263" s="8">
        <v>11185</v>
      </c>
      <c r="C1263" s="8" t="s">
        <v>1456</v>
      </c>
      <c r="D1263" s="8" t="s">
        <v>19</v>
      </c>
      <c r="E1263" s="2" t="str">
        <f>"829.33"</f>
        <v>829.33</v>
      </c>
      <c r="F1263" s="9" t="s">
        <v>9</v>
      </c>
      <c r="G1263" s="9">
        <v>2017</v>
      </c>
      <c r="H1263" s="10"/>
      <c r="I1263" s="10"/>
      <c r="J1263" s="10"/>
      <c r="K1263" s="10"/>
      <c r="L1263" s="10"/>
      <c r="M1263" s="10"/>
      <c r="N1263" s="10"/>
      <c r="O1263" s="10"/>
      <c r="P1263" s="10"/>
      <c r="Q1263" s="10"/>
      <c r="R1263" s="10"/>
      <c r="S1263" s="10"/>
      <c r="T1263" s="10"/>
      <c r="U1263" s="10"/>
      <c r="V1263" s="10"/>
      <c r="W1263" s="10"/>
      <c r="X1263" s="10"/>
      <c r="Y1263" s="10"/>
      <c r="Z1263" s="10"/>
      <c r="AA1263" s="10"/>
      <c r="AB1263" s="10"/>
      <c r="AC1263" s="10"/>
      <c r="AD1263" s="10"/>
      <c r="AE1263" s="10"/>
      <c r="AF1263" s="10"/>
      <c r="AG1263" s="10"/>
      <c r="AH1263" s="10"/>
      <c r="AI1263" s="10"/>
      <c r="AJ1263" s="10"/>
      <c r="AK1263" s="10"/>
      <c r="AL1263" s="10"/>
      <c r="AM1263" s="10" t="str">
        <f>"789.33"</f>
        <v>789.33</v>
      </c>
      <c r="AN1263" s="10"/>
      <c r="AO1263" s="10"/>
    </row>
    <row r="1264" spans="1:41">
      <c r="A1264" s="8">
        <v>1262</v>
      </c>
      <c r="B1264" s="8">
        <v>11208</v>
      </c>
      <c r="C1264" s="8" t="s">
        <v>1457</v>
      </c>
      <c r="D1264" s="8" t="s">
        <v>19</v>
      </c>
      <c r="E1264" s="2" t="str">
        <f>"830.36"</f>
        <v>830.36</v>
      </c>
      <c r="F1264" s="9" t="s">
        <v>9</v>
      </c>
      <c r="G1264" s="9">
        <v>2017</v>
      </c>
      <c r="H1264" s="10"/>
      <c r="I1264" s="10"/>
      <c r="J1264" s="10"/>
      <c r="K1264" s="10"/>
      <c r="L1264" s="10"/>
      <c r="M1264" s="10"/>
      <c r="N1264" s="10"/>
      <c r="O1264" s="10"/>
      <c r="P1264" s="10"/>
      <c r="Q1264" s="10"/>
      <c r="R1264" s="10"/>
      <c r="S1264" s="10"/>
      <c r="T1264" s="10"/>
      <c r="U1264" s="10"/>
      <c r="V1264" s="10"/>
      <c r="W1264" s="10"/>
      <c r="X1264" s="10"/>
      <c r="Y1264" s="10"/>
      <c r="Z1264" s="10"/>
      <c r="AA1264" s="10"/>
      <c r="AB1264" s="10" t="str">
        <f>"790.36"</f>
        <v>790.36</v>
      </c>
      <c r="AC1264" s="10"/>
      <c r="AD1264" s="10"/>
      <c r="AE1264" s="10"/>
      <c r="AF1264" s="10"/>
      <c r="AG1264" s="10"/>
      <c r="AH1264" s="10"/>
      <c r="AI1264" s="10"/>
      <c r="AJ1264" s="10"/>
      <c r="AK1264" s="10"/>
      <c r="AL1264" s="10"/>
      <c r="AM1264" s="10"/>
      <c r="AN1264" s="10"/>
      <c r="AO1264" s="10"/>
    </row>
    <row r="1265" spans="1:41">
      <c r="A1265" s="8">
        <v>1263</v>
      </c>
      <c r="B1265" s="8">
        <v>11183</v>
      </c>
      <c r="C1265" s="8" t="s">
        <v>1458</v>
      </c>
      <c r="D1265" s="8" t="s">
        <v>19</v>
      </c>
      <c r="E1265" s="2" t="str">
        <f>"833.29"</f>
        <v>833.29</v>
      </c>
      <c r="F1265" s="9"/>
      <c r="G1265" s="9">
        <v>2017</v>
      </c>
      <c r="H1265" s="10"/>
      <c r="I1265" s="10"/>
      <c r="J1265" s="10"/>
      <c r="K1265" s="10"/>
      <c r="L1265" s="10"/>
      <c r="M1265" s="10"/>
      <c r="N1265" s="10"/>
      <c r="O1265" s="10"/>
      <c r="P1265" s="10"/>
      <c r="Q1265" s="10"/>
      <c r="R1265" s="10"/>
      <c r="S1265" s="10"/>
      <c r="T1265" s="10"/>
      <c r="U1265" s="10"/>
      <c r="V1265" s="10"/>
      <c r="W1265" s="10"/>
      <c r="X1265" s="10"/>
      <c r="Y1265" s="10"/>
      <c r="Z1265" s="10"/>
      <c r="AA1265" s="10"/>
      <c r="AB1265" s="10" t="str">
        <f>"1003.85"</f>
        <v>1003.85</v>
      </c>
      <c r="AC1265" s="10"/>
      <c r="AD1265" s="10"/>
      <c r="AE1265" s="10"/>
      <c r="AF1265" s="10"/>
      <c r="AG1265" s="10"/>
      <c r="AH1265" s="10"/>
      <c r="AI1265" s="10"/>
      <c r="AJ1265" s="10"/>
      <c r="AK1265" s="10"/>
      <c r="AL1265" s="10"/>
      <c r="AM1265" s="10" t="str">
        <f>"662.72"</f>
        <v>662.72</v>
      </c>
      <c r="AN1265" s="10"/>
      <c r="AO1265" s="10"/>
    </row>
    <row r="1266" spans="1:41">
      <c r="A1266" s="8">
        <v>1264</v>
      </c>
      <c r="B1266" s="8">
        <v>11171</v>
      </c>
      <c r="C1266" s="8" t="s">
        <v>1459</v>
      </c>
      <c r="D1266" s="8" t="s">
        <v>19</v>
      </c>
      <c r="E1266" s="2" t="str">
        <f>"838.14"</f>
        <v>838.14</v>
      </c>
      <c r="F1266" s="9"/>
      <c r="G1266" s="9">
        <v>2017</v>
      </c>
      <c r="H1266" s="10"/>
      <c r="I1266" s="10"/>
      <c r="J1266" s="10"/>
      <c r="K1266" s="10"/>
      <c r="L1266" s="10"/>
      <c r="M1266" s="10"/>
      <c r="N1266" s="10"/>
      <c r="O1266" s="10"/>
      <c r="P1266" s="10"/>
      <c r="Q1266" s="10"/>
      <c r="R1266" s="10"/>
      <c r="S1266" s="10"/>
      <c r="T1266" s="10"/>
      <c r="U1266" s="10"/>
      <c r="V1266" s="10"/>
      <c r="W1266" s="10"/>
      <c r="X1266" s="10"/>
      <c r="Y1266" s="10"/>
      <c r="Z1266" s="10"/>
      <c r="AA1266" s="10"/>
      <c r="AB1266" s="10" t="str">
        <f>"907.87"</f>
        <v>907.87</v>
      </c>
      <c r="AC1266" s="10"/>
      <c r="AD1266" s="10"/>
      <c r="AE1266" s="10"/>
      <c r="AF1266" s="10"/>
      <c r="AG1266" s="10"/>
      <c r="AH1266" s="10"/>
      <c r="AI1266" s="10"/>
      <c r="AJ1266" s="10"/>
      <c r="AK1266" s="10"/>
      <c r="AL1266" s="10"/>
      <c r="AM1266" s="10" t="str">
        <f>"768.40"</f>
        <v>768.40</v>
      </c>
      <c r="AN1266" s="10"/>
      <c r="AO1266" s="10"/>
    </row>
    <row r="1267" spans="1:41">
      <c r="A1267" s="8">
        <v>1265</v>
      </c>
      <c r="B1267" s="8">
        <v>11078</v>
      </c>
      <c r="C1267" s="8" t="s">
        <v>1460</v>
      </c>
      <c r="D1267" s="8" t="s">
        <v>19</v>
      </c>
      <c r="E1267" s="2" t="str">
        <f>"841.57"</f>
        <v>841.57</v>
      </c>
      <c r="F1267" s="9"/>
      <c r="G1267" s="9">
        <v>2017</v>
      </c>
      <c r="H1267" s="10"/>
      <c r="I1267" s="10"/>
      <c r="J1267" s="10"/>
      <c r="K1267" s="10"/>
      <c r="L1267" s="10"/>
      <c r="M1267" s="10"/>
      <c r="N1267" s="10"/>
      <c r="O1267" s="10"/>
      <c r="P1267" s="10"/>
      <c r="Q1267" s="10"/>
      <c r="R1267" s="10"/>
      <c r="S1267" s="10"/>
      <c r="T1267" s="10"/>
      <c r="U1267" s="10"/>
      <c r="V1267" s="10"/>
      <c r="W1267" s="10"/>
      <c r="X1267" s="10"/>
      <c r="Y1267" s="10" t="str">
        <f>"804.04"</f>
        <v>804.04</v>
      </c>
      <c r="Z1267" s="10"/>
      <c r="AA1267" s="10"/>
      <c r="AB1267" s="10" t="str">
        <f>"879.10"</f>
        <v>879.10</v>
      </c>
      <c r="AC1267" s="10"/>
      <c r="AD1267" s="10"/>
      <c r="AE1267" s="10"/>
      <c r="AF1267" s="10"/>
      <c r="AG1267" s="10"/>
      <c r="AH1267" s="10"/>
      <c r="AI1267" s="10"/>
      <c r="AJ1267" s="10"/>
      <c r="AK1267" s="10"/>
      <c r="AL1267" s="10"/>
      <c r="AM1267" s="10"/>
      <c r="AN1267" s="10"/>
      <c r="AO1267" s="10"/>
    </row>
    <row r="1268" spans="1:41">
      <c r="A1268" s="8">
        <v>1266</v>
      </c>
      <c r="B1268" s="8">
        <v>11141</v>
      </c>
      <c r="C1268" s="8" t="s">
        <v>1461</v>
      </c>
      <c r="D1268" s="8" t="s">
        <v>19</v>
      </c>
      <c r="E1268" s="2" t="str">
        <f>"842.63"</f>
        <v>842.63</v>
      </c>
      <c r="F1268" s="9"/>
      <c r="G1268" s="9">
        <v>2017</v>
      </c>
      <c r="H1268" s="10"/>
      <c r="I1268" s="10"/>
      <c r="J1268" s="10"/>
      <c r="K1268" s="10"/>
      <c r="L1268" s="10"/>
      <c r="M1268" s="10"/>
      <c r="N1268" s="10"/>
      <c r="O1268" s="10"/>
      <c r="P1268" s="10"/>
      <c r="Q1268" s="10"/>
      <c r="R1268" s="10"/>
      <c r="S1268" s="10"/>
      <c r="T1268" s="10"/>
      <c r="U1268" s="10"/>
      <c r="V1268" s="10"/>
      <c r="W1268" s="10"/>
      <c r="X1268" s="10"/>
      <c r="Y1268" s="10"/>
      <c r="Z1268" s="10"/>
      <c r="AA1268" s="10"/>
      <c r="AB1268" s="10" t="str">
        <f>"869.63"</f>
        <v>869.63</v>
      </c>
      <c r="AC1268" s="10"/>
      <c r="AD1268" s="10"/>
      <c r="AE1268" s="10"/>
      <c r="AF1268" s="10"/>
      <c r="AG1268" s="10"/>
      <c r="AH1268" s="10"/>
      <c r="AI1268" s="10"/>
      <c r="AJ1268" s="10"/>
      <c r="AK1268" s="10"/>
      <c r="AL1268" s="10"/>
      <c r="AM1268" s="10" t="str">
        <f>"815.63"</f>
        <v>815.63</v>
      </c>
      <c r="AN1268" s="10"/>
      <c r="AO1268" s="10"/>
    </row>
    <row r="1269" spans="1:41">
      <c r="A1269" s="8">
        <v>1267</v>
      </c>
      <c r="B1269" s="8">
        <v>11157</v>
      </c>
      <c r="C1269" s="8" t="s">
        <v>1462</v>
      </c>
      <c r="D1269" s="8" t="s">
        <v>19</v>
      </c>
      <c r="E1269" s="2" t="str">
        <f>"842.80"</f>
        <v>842.80</v>
      </c>
      <c r="F1269" s="9" t="s">
        <v>9</v>
      </c>
      <c r="G1269" s="9">
        <v>2017</v>
      </c>
      <c r="H1269" s="10"/>
      <c r="I1269" s="10"/>
      <c r="J1269" s="10"/>
      <c r="K1269" s="10"/>
      <c r="L1269" s="10"/>
      <c r="M1269" s="10"/>
      <c r="N1269" s="10"/>
      <c r="O1269" s="10"/>
      <c r="P1269" s="10"/>
      <c r="Q1269" s="10"/>
      <c r="R1269" s="10"/>
      <c r="S1269" s="10"/>
      <c r="T1269" s="10"/>
      <c r="U1269" s="10"/>
      <c r="V1269" s="10"/>
      <c r="W1269" s="10"/>
      <c r="X1269" s="10"/>
      <c r="Y1269" s="10"/>
      <c r="Z1269" s="10"/>
      <c r="AA1269" s="10"/>
      <c r="AB1269" s="10" t="str">
        <f>"802.80"</f>
        <v>802.80</v>
      </c>
      <c r="AC1269" s="10"/>
      <c r="AD1269" s="10"/>
      <c r="AE1269" s="10"/>
      <c r="AF1269" s="10"/>
      <c r="AG1269" s="10"/>
      <c r="AH1269" s="10"/>
      <c r="AI1269" s="10"/>
      <c r="AJ1269" s="10"/>
      <c r="AK1269" s="10"/>
      <c r="AL1269" s="10"/>
      <c r="AM1269" s="10"/>
      <c r="AN1269" s="10"/>
      <c r="AO1269" s="10"/>
    </row>
    <row r="1270" spans="1:41">
      <c r="A1270" s="8">
        <v>1268</v>
      </c>
      <c r="B1270" s="8">
        <v>11135</v>
      </c>
      <c r="C1270" s="8" t="s">
        <v>1463</v>
      </c>
      <c r="D1270" s="8" t="s">
        <v>19</v>
      </c>
      <c r="E1270" s="2" t="str">
        <f>"850.24"</f>
        <v>850.24</v>
      </c>
      <c r="F1270" s="9"/>
      <c r="G1270" s="9">
        <v>2017</v>
      </c>
      <c r="H1270" s="10"/>
      <c r="I1270" s="10"/>
      <c r="J1270" s="10"/>
      <c r="K1270" s="10"/>
      <c r="L1270" s="10"/>
      <c r="M1270" s="10"/>
      <c r="N1270" s="10"/>
      <c r="O1270" s="10"/>
      <c r="P1270" s="10"/>
      <c r="Q1270" s="10"/>
      <c r="R1270" s="10"/>
      <c r="S1270" s="10"/>
      <c r="T1270" s="10"/>
      <c r="U1270" s="10"/>
      <c r="V1270" s="10"/>
      <c r="W1270" s="10"/>
      <c r="X1270" s="10"/>
      <c r="Y1270" s="10"/>
      <c r="Z1270" s="10"/>
      <c r="AA1270" s="10"/>
      <c r="AB1270" s="10" t="str">
        <f>"898.59"</f>
        <v>898.59</v>
      </c>
      <c r="AC1270" s="10"/>
      <c r="AD1270" s="10"/>
      <c r="AE1270" s="10"/>
      <c r="AF1270" s="10"/>
      <c r="AG1270" s="10"/>
      <c r="AH1270" s="10"/>
      <c r="AI1270" s="10"/>
      <c r="AJ1270" s="10"/>
      <c r="AK1270" s="10"/>
      <c r="AL1270" s="10"/>
      <c r="AM1270" s="10" t="str">
        <f>"801.88"</f>
        <v>801.88</v>
      </c>
      <c r="AN1270" s="10"/>
      <c r="AO1270" s="10"/>
    </row>
    <row r="1271" spans="1:41">
      <c r="A1271" s="8">
        <v>1269</v>
      </c>
      <c r="B1271" s="8">
        <v>11169</v>
      </c>
      <c r="C1271" s="8" t="s">
        <v>1464</v>
      </c>
      <c r="D1271" s="8" t="s">
        <v>19</v>
      </c>
      <c r="E1271" s="2" t="str">
        <f>"874.92"</f>
        <v>874.92</v>
      </c>
      <c r="F1271" s="9" t="s">
        <v>9</v>
      </c>
      <c r="G1271" s="9">
        <v>2017</v>
      </c>
      <c r="H1271" s="10"/>
      <c r="I1271" s="10"/>
      <c r="J1271" s="10"/>
      <c r="K1271" s="10"/>
      <c r="L1271" s="10"/>
      <c r="M1271" s="10"/>
      <c r="N1271" s="10"/>
      <c r="O1271" s="10"/>
      <c r="P1271" s="10"/>
      <c r="Q1271" s="10"/>
      <c r="R1271" s="10"/>
      <c r="S1271" s="10"/>
      <c r="T1271" s="10"/>
      <c r="U1271" s="10"/>
      <c r="V1271" s="10"/>
      <c r="W1271" s="10"/>
      <c r="X1271" s="10"/>
      <c r="Y1271" s="10"/>
      <c r="Z1271" s="10"/>
      <c r="AA1271" s="10"/>
      <c r="AB1271" s="10" t="str">
        <f>"834.92"</f>
        <v>834.92</v>
      </c>
      <c r="AC1271" s="10"/>
      <c r="AD1271" s="10"/>
      <c r="AE1271" s="10"/>
      <c r="AF1271" s="10"/>
      <c r="AG1271" s="10"/>
      <c r="AH1271" s="10"/>
      <c r="AI1271" s="10"/>
      <c r="AJ1271" s="10"/>
      <c r="AK1271" s="10"/>
      <c r="AL1271" s="10"/>
      <c r="AM1271" s="10"/>
      <c r="AN1271" s="10"/>
      <c r="AO1271" s="10"/>
    </row>
    <row r="1272" spans="1:41">
      <c r="A1272" s="8">
        <v>1270</v>
      </c>
      <c r="B1272" s="8">
        <v>11219</v>
      </c>
      <c r="C1272" s="8" t="s">
        <v>1465</v>
      </c>
      <c r="D1272" s="8" t="s">
        <v>19</v>
      </c>
      <c r="E1272" s="2" t="str">
        <f>"877.33"</f>
        <v>877.33</v>
      </c>
      <c r="F1272" s="9" t="s">
        <v>9</v>
      </c>
      <c r="G1272" s="9">
        <v>2017</v>
      </c>
      <c r="H1272" s="10"/>
      <c r="I1272" s="10"/>
      <c r="J1272" s="10"/>
      <c r="K1272" s="10"/>
      <c r="L1272" s="10"/>
      <c r="M1272" s="10"/>
      <c r="N1272" s="10"/>
      <c r="O1272" s="10"/>
      <c r="P1272" s="10"/>
      <c r="Q1272" s="10"/>
      <c r="R1272" s="10"/>
      <c r="S1272" s="10"/>
      <c r="T1272" s="10"/>
      <c r="U1272" s="10"/>
      <c r="V1272" s="10"/>
      <c r="W1272" s="10"/>
      <c r="X1272" s="10"/>
      <c r="Y1272" s="10"/>
      <c r="Z1272" s="10"/>
      <c r="AA1272" s="10"/>
      <c r="AB1272" s="10" t="str">
        <f>"837.33"</f>
        <v>837.33</v>
      </c>
      <c r="AC1272" s="10"/>
      <c r="AD1272" s="10"/>
      <c r="AE1272" s="10"/>
      <c r="AF1272" s="10"/>
      <c r="AG1272" s="10"/>
      <c r="AH1272" s="10"/>
      <c r="AI1272" s="10"/>
      <c r="AJ1272" s="10"/>
      <c r="AK1272" s="10"/>
      <c r="AL1272" s="10"/>
      <c r="AM1272" s="10"/>
      <c r="AN1272" s="10"/>
      <c r="AO1272" s="10"/>
    </row>
    <row r="1273" spans="1:41">
      <c r="A1273" s="8">
        <v>1271</v>
      </c>
      <c r="B1273" s="8">
        <v>10457</v>
      </c>
      <c r="C1273" s="8" t="s">
        <v>1466</v>
      </c>
      <c r="D1273" s="8" t="s">
        <v>19</v>
      </c>
      <c r="E1273" s="2" t="str">
        <f>"878.44"</f>
        <v>878.44</v>
      </c>
      <c r="F1273" s="9" t="s">
        <v>9</v>
      </c>
      <c r="G1273" s="9">
        <v>2017</v>
      </c>
      <c r="H1273" s="10"/>
      <c r="I1273" s="10"/>
      <c r="J1273" s="10"/>
      <c r="K1273" s="10"/>
      <c r="L1273" s="10"/>
      <c r="M1273" s="10"/>
      <c r="N1273" s="10"/>
      <c r="O1273" s="10"/>
      <c r="P1273" s="10"/>
      <c r="Q1273" s="10"/>
      <c r="R1273" s="10"/>
      <c r="S1273" s="10"/>
      <c r="T1273" s="10"/>
      <c r="U1273" s="10"/>
      <c r="V1273" s="10"/>
      <c r="W1273" s="10"/>
      <c r="X1273" s="10"/>
      <c r="Y1273" s="10"/>
      <c r="Z1273" s="10"/>
      <c r="AA1273" s="10"/>
      <c r="AB1273" s="10" t="str">
        <f>"838.44"</f>
        <v>838.44</v>
      </c>
      <c r="AC1273" s="10"/>
      <c r="AD1273" s="10"/>
      <c r="AE1273" s="10"/>
      <c r="AF1273" s="10"/>
      <c r="AG1273" s="10"/>
      <c r="AH1273" s="10"/>
      <c r="AI1273" s="10"/>
      <c r="AJ1273" s="10"/>
      <c r="AK1273" s="10"/>
      <c r="AL1273" s="10"/>
      <c r="AM1273" s="10"/>
      <c r="AN1273" s="10"/>
      <c r="AO1273" s="10"/>
    </row>
    <row r="1274" spans="1:41">
      <c r="A1274" s="8">
        <v>1272</v>
      </c>
      <c r="B1274" s="8">
        <v>10806</v>
      </c>
      <c r="C1274" s="8" t="s">
        <v>1467</v>
      </c>
      <c r="D1274" s="8" t="s">
        <v>19</v>
      </c>
      <c r="E1274" s="2" t="str">
        <f>"881.78"</f>
        <v>881.78</v>
      </c>
      <c r="F1274" s="9" t="s">
        <v>9</v>
      </c>
      <c r="G1274" s="9">
        <v>2017</v>
      </c>
      <c r="H1274" s="10"/>
      <c r="I1274" s="10"/>
      <c r="J1274" s="10"/>
      <c r="K1274" s="10"/>
      <c r="L1274" s="10"/>
      <c r="M1274" s="10"/>
      <c r="N1274" s="10"/>
      <c r="O1274" s="10"/>
      <c r="P1274" s="10"/>
      <c r="Q1274" s="10"/>
      <c r="R1274" s="10"/>
      <c r="S1274" s="10"/>
      <c r="T1274" s="10"/>
      <c r="U1274" s="10"/>
      <c r="V1274" s="10"/>
      <c r="W1274" s="10"/>
      <c r="X1274" s="10"/>
      <c r="Y1274" s="10"/>
      <c r="Z1274" s="10"/>
      <c r="AA1274" s="10"/>
      <c r="AB1274" s="10" t="str">
        <f>"841.78"</f>
        <v>841.78</v>
      </c>
      <c r="AC1274" s="10"/>
      <c r="AD1274" s="10"/>
      <c r="AE1274" s="10"/>
      <c r="AF1274" s="10"/>
      <c r="AG1274" s="10"/>
      <c r="AH1274" s="10"/>
      <c r="AI1274" s="10"/>
      <c r="AJ1274" s="10"/>
      <c r="AK1274" s="10"/>
      <c r="AL1274" s="10"/>
      <c r="AM1274" s="10"/>
      <c r="AN1274" s="10"/>
      <c r="AO1274" s="10"/>
    </row>
    <row r="1275" spans="1:41">
      <c r="A1275" s="8">
        <v>1273</v>
      </c>
      <c r="B1275" s="8">
        <v>10887</v>
      </c>
      <c r="C1275" s="8" t="s">
        <v>1468</v>
      </c>
      <c r="D1275" s="8" t="s">
        <v>10</v>
      </c>
      <c r="E1275" s="2" t="str">
        <f>"882.97"</f>
        <v>882.97</v>
      </c>
      <c r="F1275" s="9" t="s">
        <v>11</v>
      </c>
      <c r="G1275" s="9">
        <v>2017</v>
      </c>
      <c r="H1275" s="10" t="str">
        <f>"842.97"</f>
        <v>842.97</v>
      </c>
      <c r="I1275" s="10"/>
      <c r="J1275" s="10"/>
      <c r="K1275" s="10"/>
      <c r="L1275" s="10"/>
      <c r="M1275" s="10"/>
      <c r="N1275" s="10"/>
      <c r="O1275" s="10"/>
      <c r="P1275" s="10"/>
      <c r="Q1275" s="10"/>
      <c r="R1275" s="10"/>
      <c r="S1275" s="10"/>
      <c r="T1275" s="10"/>
      <c r="U1275" s="10"/>
      <c r="V1275" s="10"/>
      <c r="W1275" s="10"/>
      <c r="X1275" s="10"/>
      <c r="Y1275" s="10"/>
      <c r="Z1275" s="10"/>
      <c r="AA1275" s="10"/>
      <c r="AB1275" s="10"/>
      <c r="AC1275" s="10"/>
      <c r="AD1275" s="10"/>
      <c r="AE1275" s="10"/>
      <c r="AF1275" s="10"/>
      <c r="AG1275" s="10"/>
      <c r="AH1275" s="10"/>
      <c r="AI1275" s="10"/>
      <c r="AJ1275" s="10"/>
      <c r="AK1275" s="10"/>
      <c r="AL1275" s="10"/>
      <c r="AM1275" s="10"/>
      <c r="AN1275" s="10"/>
      <c r="AO1275" s="10"/>
    </row>
    <row r="1276" spans="1:41">
      <c r="A1276" s="8">
        <v>1274</v>
      </c>
      <c r="B1276" s="8">
        <v>11286</v>
      </c>
      <c r="C1276" s="8" t="s">
        <v>1469</v>
      </c>
      <c r="D1276" s="8" t="s">
        <v>10</v>
      </c>
      <c r="E1276" s="2" t="str">
        <f>"910.21"</f>
        <v>910.21</v>
      </c>
      <c r="F1276" s="9" t="s">
        <v>9</v>
      </c>
      <c r="G1276" s="9">
        <v>2017</v>
      </c>
      <c r="H1276" s="10"/>
      <c r="I1276" s="10"/>
      <c r="J1276" s="10"/>
      <c r="K1276" s="10"/>
      <c r="L1276" s="10"/>
      <c r="M1276" s="10"/>
      <c r="N1276" s="10"/>
      <c r="O1276" s="10"/>
      <c r="P1276" s="10"/>
      <c r="Q1276" s="10"/>
      <c r="R1276" s="10"/>
      <c r="S1276" s="10"/>
      <c r="T1276" s="10"/>
      <c r="U1276" s="10"/>
      <c r="V1276" s="10"/>
      <c r="W1276" s="10"/>
      <c r="X1276" s="10"/>
      <c r="Y1276" s="10"/>
      <c r="Z1276" s="10"/>
      <c r="AA1276" s="10"/>
      <c r="AB1276" s="10"/>
      <c r="AC1276" s="10"/>
      <c r="AD1276" s="10"/>
      <c r="AE1276" s="10" t="str">
        <f>"870.21"</f>
        <v>870.21</v>
      </c>
      <c r="AF1276" s="10"/>
      <c r="AG1276" s="10"/>
      <c r="AH1276" s="10"/>
      <c r="AI1276" s="10"/>
      <c r="AJ1276" s="10"/>
      <c r="AK1276" s="10"/>
      <c r="AL1276" s="10"/>
      <c r="AM1276" s="10"/>
      <c r="AN1276" s="10"/>
      <c r="AO1276" s="10"/>
    </row>
    <row r="1277" spans="1:41">
      <c r="A1277" s="8">
        <v>1275</v>
      </c>
      <c r="B1277" s="8">
        <v>11188</v>
      </c>
      <c r="C1277" s="8" t="s">
        <v>1470</v>
      </c>
      <c r="D1277" s="8" t="s">
        <v>19</v>
      </c>
      <c r="E1277" s="2" t="str">
        <f>"929.92"</f>
        <v>929.92</v>
      </c>
      <c r="F1277" s="9"/>
      <c r="G1277" s="9">
        <v>2017</v>
      </c>
      <c r="H1277" s="10"/>
      <c r="I1277" s="10"/>
      <c r="J1277" s="10"/>
      <c r="K1277" s="10"/>
      <c r="L1277" s="10"/>
      <c r="M1277" s="10"/>
      <c r="N1277" s="10"/>
      <c r="O1277" s="10"/>
      <c r="P1277" s="10"/>
      <c r="Q1277" s="10"/>
      <c r="R1277" s="10"/>
      <c r="S1277" s="10"/>
      <c r="T1277" s="10"/>
      <c r="U1277" s="10"/>
      <c r="V1277" s="10"/>
      <c r="W1277" s="10"/>
      <c r="X1277" s="10"/>
      <c r="Y1277" s="10"/>
      <c r="Z1277" s="10"/>
      <c r="AA1277" s="10"/>
      <c r="AB1277" s="10" t="str">
        <f>"964.68"</f>
        <v>964.68</v>
      </c>
      <c r="AC1277" s="10"/>
      <c r="AD1277" s="10"/>
      <c r="AE1277" s="10"/>
      <c r="AF1277" s="10"/>
      <c r="AG1277" s="10"/>
      <c r="AH1277" s="10"/>
      <c r="AI1277" s="10"/>
      <c r="AJ1277" s="10"/>
      <c r="AK1277" s="10"/>
      <c r="AL1277" s="10"/>
      <c r="AM1277" s="10" t="str">
        <f>"895.16"</f>
        <v>895.16</v>
      </c>
      <c r="AN1277" s="10"/>
      <c r="AO1277" s="10"/>
    </row>
    <row r="1278" spans="1:41">
      <c r="A1278" s="8">
        <v>1276</v>
      </c>
      <c r="B1278" s="8">
        <v>11162</v>
      </c>
      <c r="C1278" s="8" t="s">
        <v>1471</v>
      </c>
      <c r="D1278" s="8" t="s">
        <v>19</v>
      </c>
      <c r="E1278" s="2" t="str">
        <f>"936.18"</f>
        <v>936.18</v>
      </c>
      <c r="F1278" s="9" t="s">
        <v>9</v>
      </c>
      <c r="G1278" s="9">
        <v>2017</v>
      </c>
      <c r="H1278" s="10"/>
      <c r="I1278" s="10"/>
      <c r="J1278" s="10"/>
      <c r="K1278" s="10"/>
      <c r="L1278" s="10"/>
      <c r="M1278" s="10"/>
      <c r="N1278" s="10"/>
      <c r="O1278" s="10"/>
      <c r="P1278" s="10"/>
      <c r="Q1278" s="10"/>
      <c r="R1278" s="10"/>
      <c r="S1278" s="10"/>
      <c r="T1278" s="10"/>
      <c r="U1278" s="10"/>
      <c r="V1278" s="10"/>
      <c r="W1278" s="10"/>
      <c r="X1278" s="10"/>
      <c r="Y1278" s="10"/>
      <c r="Z1278" s="10"/>
      <c r="AA1278" s="10"/>
      <c r="AB1278" s="10" t="str">
        <f>"896.18"</f>
        <v>896.18</v>
      </c>
      <c r="AC1278" s="10"/>
      <c r="AD1278" s="10"/>
      <c r="AE1278" s="10"/>
      <c r="AF1278" s="10"/>
      <c r="AG1278" s="10"/>
      <c r="AH1278" s="10"/>
      <c r="AI1278" s="10"/>
      <c r="AJ1278" s="10"/>
      <c r="AK1278" s="10"/>
      <c r="AL1278" s="10"/>
      <c r="AM1278" s="10"/>
      <c r="AN1278" s="10"/>
      <c r="AO1278" s="10"/>
    </row>
    <row r="1279" spans="1:41">
      <c r="A1279" s="8">
        <v>1277</v>
      </c>
      <c r="B1279" s="8">
        <v>11184</v>
      </c>
      <c r="C1279" s="8" t="s">
        <v>1472</v>
      </c>
      <c r="D1279" s="8" t="s">
        <v>19</v>
      </c>
      <c r="E1279" s="2" t="str">
        <f>"942.04"</f>
        <v>942.04</v>
      </c>
      <c r="F1279" s="9" t="s">
        <v>9</v>
      </c>
      <c r="G1279" s="9">
        <v>2017</v>
      </c>
      <c r="H1279" s="10"/>
      <c r="I1279" s="10"/>
      <c r="J1279" s="10"/>
      <c r="K1279" s="10"/>
      <c r="L1279" s="10"/>
      <c r="M1279" s="10"/>
      <c r="N1279" s="10"/>
      <c r="O1279" s="10"/>
      <c r="P1279" s="10"/>
      <c r="Q1279" s="10"/>
      <c r="R1279" s="10"/>
      <c r="S1279" s="10"/>
      <c r="T1279" s="10"/>
      <c r="U1279" s="10"/>
      <c r="V1279" s="10"/>
      <c r="W1279" s="10"/>
      <c r="X1279" s="10"/>
      <c r="Y1279" s="10"/>
      <c r="Z1279" s="10"/>
      <c r="AA1279" s="10"/>
      <c r="AB1279" s="10"/>
      <c r="AC1279" s="10"/>
      <c r="AD1279" s="10"/>
      <c r="AE1279" s="10"/>
      <c r="AF1279" s="10"/>
      <c r="AG1279" s="10"/>
      <c r="AH1279" s="10"/>
      <c r="AI1279" s="10"/>
      <c r="AJ1279" s="10"/>
      <c r="AK1279" s="10"/>
      <c r="AL1279" s="10"/>
      <c r="AM1279" s="10" t="str">
        <f>"902.04"</f>
        <v>902.04</v>
      </c>
      <c r="AN1279" s="10"/>
      <c r="AO1279" s="10"/>
    </row>
    <row r="1280" spans="1:41">
      <c r="A1280" s="8">
        <v>1278</v>
      </c>
      <c r="B1280" s="8">
        <v>10797</v>
      </c>
      <c r="C1280" s="8" t="s">
        <v>1473</v>
      </c>
      <c r="D1280" s="8" t="s">
        <v>19</v>
      </c>
      <c r="E1280" s="2" t="str">
        <f>"946.39"</f>
        <v>946.39</v>
      </c>
      <c r="F1280" s="9" t="s">
        <v>9</v>
      </c>
      <c r="G1280" s="9">
        <v>2017</v>
      </c>
      <c r="H1280" s="10" t="str">
        <f>"1307.41"</f>
        <v>1307.41</v>
      </c>
      <c r="I1280" s="10"/>
      <c r="J1280" s="10"/>
      <c r="K1280" s="10"/>
      <c r="L1280" s="10"/>
      <c r="M1280" s="10"/>
      <c r="N1280" s="10"/>
      <c r="O1280" s="10"/>
      <c r="P1280" s="10"/>
      <c r="Q1280" s="10"/>
      <c r="R1280" s="10"/>
      <c r="S1280" s="10"/>
      <c r="T1280" s="10"/>
      <c r="U1280" s="10"/>
      <c r="V1280" s="10"/>
      <c r="W1280" s="10"/>
      <c r="X1280" s="10"/>
      <c r="Y1280" s="10"/>
      <c r="Z1280" s="10"/>
      <c r="AA1280" s="10"/>
      <c r="AB1280" s="10" t="str">
        <f>"906.39"</f>
        <v>906.39</v>
      </c>
      <c r="AC1280" s="10"/>
      <c r="AD1280" s="10"/>
      <c r="AE1280" s="10"/>
      <c r="AF1280" s="10"/>
      <c r="AG1280" s="10"/>
      <c r="AH1280" s="10"/>
      <c r="AI1280" s="10"/>
      <c r="AJ1280" s="10"/>
      <c r="AK1280" s="10"/>
      <c r="AL1280" s="10"/>
      <c r="AM1280" s="10"/>
      <c r="AN1280" s="10"/>
      <c r="AO1280" s="10"/>
    </row>
    <row r="1281" spans="1:41">
      <c r="A1281" s="8">
        <v>1279</v>
      </c>
      <c r="B1281" s="8">
        <v>11147</v>
      </c>
      <c r="C1281" s="8" t="s">
        <v>1474</v>
      </c>
      <c r="D1281" s="8" t="s">
        <v>19</v>
      </c>
      <c r="E1281" s="2" t="str">
        <f>"998.00"</f>
        <v>998.00</v>
      </c>
      <c r="F1281" s="9" t="s">
        <v>9</v>
      </c>
      <c r="G1281" s="9">
        <v>2017</v>
      </c>
      <c r="H1281" s="10"/>
      <c r="I1281" s="10"/>
      <c r="J1281" s="10"/>
      <c r="K1281" s="10"/>
      <c r="L1281" s="10"/>
      <c r="M1281" s="10"/>
      <c r="N1281" s="10"/>
      <c r="O1281" s="10"/>
      <c r="P1281" s="10"/>
      <c r="Q1281" s="10"/>
      <c r="R1281" s="10"/>
      <c r="S1281" s="10"/>
      <c r="T1281" s="10"/>
      <c r="U1281" s="10"/>
      <c r="V1281" s="10"/>
      <c r="W1281" s="10"/>
      <c r="X1281" s="10"/>
      <c r="Y1281" s="10"/>
      <c r="Z1281" s="10"/>
      <c r="AA1281" s="10"/>
      <c r="AB1281" s="10" t="str">
        <f>"958.00"</f>
        <v>958.00</v>
      </c>
      <c r="AC1281" s="10"/>
      <c r="AD1281" s="10"/>
      <c r="AE1281" s="10"/>
      <c r="AF1281" s="10"/>
      <c r="AG1281" s="10"/>
      <c r="AH1281" s="10"/>
      <c r="AI1281" s="10"/>
      <c r="AJ1281" s="10"/>
      <c r="AK1281" s="10"/>
      <c r="AL1281" s="10"/>
      <c r="AM1281" s="10"/>
      <c r="AN1281" s="10"/>
      <c r="AO1281" s="10"/>
    </row>
    <row r="1282" spans="1:41">
      <c r="A1282" s="8">
        <v>1280</v>
      </c>
      <c r="B1282" s="8">
        <v>11165</v>
      </c>
      <c r="C1282" s="8" t="s">
        <v>1475</v>
      </c>
      <c r="D1282" s="8" t="s">
        <v>19</v>
      </c>
      <c r="E1282" s="2" t="str">
        <f>"1018.60"</f>
        <v>1018.60</v>
      </c>
      <c r="F1282" s="9" t="s">
        <v>9</v>
      </c>
      <c r="G1282" s="9">
        <v>2017</v>
      </c>
      <c r="H1282" s="10"/>
      <c r="I1282" s="10"/>
      <c r="J1282" s="10"/>
      <c r="K1282" s="10"/>
      <c r="L1282" s="10"/>
      <c r="M1282" s="10"/>
      <c r="N1282" s="10"/>
      <c r="O1282" s="10"/>
      <c r="P1282" s="10"/>
      <c r="Q1282" s="10"/>
      <c r="R1282" s="10"/>
      <c r="S1282" s="10"/>
      <c r="T1282" s="10"/>
      <c r="U1282" s="10"/>
      <c r="V1282" s="10"/>
      <c r="W1282" s="10"/>
      <c r="X1282" s="10"/>
      <c r="Y1282" s="10"/>
      <c r="Z1282" s="10"/>
      <c r="AA1282" s="10"/>
      <c r="AB1282" s="10" t="str">
        <f>"978.60"</f>
        <v>978.60</v>
      </c>
      <c r="AC1282" s="10"/>
      <c r="AD1282" s="10"/>
      <c r="AE1282" s="10"/>
      <c r="AF1282" s="10"/>
      <c r="AG1282" s="10"/>
      <c r="AH1282" s="10"/>
      <c r="AI1282" s="10"/>
      <c r="AJ1282" s="10"/>
      <c r="AK1282" s="10"/>
      <c r="AL1282" s="10"/>
      <c r="AM1282" s="10"/>
      <c r="AN1282" s="10"/>
      <c r="AO1282" s="10"/>
    </row>
    <row r="1283" spans="1:41">
      <c r="A1283" s="8">
        <v>1281</v>
      </c>
      <c r="B1283" s="8">
        <v>11173</v>
      </c>
      <c r="C1283" s="8" t="s">
        <v>1476</v>
      </c>
      <c r="D1283" s="8" t="s">
        <v>19</v>
      </c>
      <c r="E1283" s="2" t="str">
        <f>"1100.04"</f>
        <v>1100.04</v>
      </c>
      <c r="F1283" s="9" t="s">
        <v>9</v>
      </c>
      <c r="G1283" s="9">
        <v>2017</v>
      </c>
      <c r="H1283" s="10"/>
      <c r="I1283" s="10"/>
      <c r="J1283" s="10"/>
      <c r="K1283" s="10"/>
      <c r="L1283" s="10"/>
      <c r="M1283" s="10"/>
      <c r="N1283" s="10"/>
      <c r="O1283" s="10"/>
      <c r="P1283" s="10"/>
      <c r="Q1283" s="10"/>
      <c r="R1283" s="10"/>
      <c r="S1283" s="10"/>
      <c r="T1283" s="10"/>
      <c r="U1283" s="10"/>
      <c r="V1283" s="10"/>
      <c r="W1283" s="10"/>
      <c r="X1283" s="10"/>
      <c r="Y1283" s="10"/>
      <c r="Z1283" s="10"/>
      <c r="AA1283" s="10"/>
      <c r="AB1283" s="10"/>
      <c r="AC1283" s="10"/>
      <c r="AD1283" s="10"/>
      <c r="AE1283" s="10"/>
      <c r="AF1283" s="10"/>
      <c r="AG1283" s="10"/>
      <c r="AH1283" s="10"/>
      <c r="AI1283" s="10"/>
      <c r="AJ1283" s="10"/>
      <c r="AK1283" s="10"/>
      <c r="AL1283" s="10"/>
      <c r="AM1283" s="10" t="str">
        <f>"1060.04"</f>
        <v>1060.04</v>
      </c>
      <c r="AN1283" s="10"/>
      <c r="AO1283" s="10"/>
    </row>
    <row r="1284" spans="1:41">
      <c r="A1284" s="8">
        <v>1282</v>
      </c>
      <c r="B1284" s="8">
        <v>11189</v>
      </c>
      <c r="C1284" s="8" t="s">
        <v>1477</v>
      </c>
      <c r="D1284" s="8" t="s">
        <v>19</v>
      </c>
      <c r="E1284" s="2" t="str">
        <f>"1102.14"</f>
        <v>1102.14</v>
      </c>
      <c r="F1284" s="9" t="s">
        <v>9</v>
      </c>
      <c r="G1284" s="9">
        <v>2017</v>
      </c>
      <c r="H1284" s="10"/>
      <c r="I1284" s="10"/>
      <c r="J1284" s="10"/>
      <c r="K1284" s="10"/>
      <c r="L1284" s="10"/>
      <c r="M1284" s="10"/>
      <c r="N1284" s="10"/>
      <c r="O1284" s="10"/>
      <c r="P1284" s="10"/>
      <c r="Q1284" s="10"/>
      <c r="R1284" s="10"/>
      <c r="S1284" s="10"/>
      <c r="T1284" s="10"/>
      <c r="U1284" s="10"/>
      <c r="V1284" s="10"/>
      <c r="W1284" s="10"/>
      <c r="X1284" s="10"/>
      <c r="Y1284" s="10"/>
      <c r="Z1284" s="10"/>
      <c r="AA1284" s="10"/>
      <c r="AB1284" s="10" t="str">
        <f>"1062.14"</f>
        <v>1062.14</v>
      </c>
      <c r="AC1284" s="10"/>
      <c r="AD1284" s="10"/>
      <c r="AE1284" s="10"/>
      <c r="AF1284" s="10"/>
      <c r="AG1284" s="10"/>
      <c r="AH1284" s="10"/>
      <c r="AI1284" s="10"/>
      <c r="AJ1284" s="10"/>
      <c r="AK1284" s="10"/>
      <c r="AL1284" s="10"/>
      <c r="AM1284" s="10"/>
      <c r="AN1284" s="10"/>
      <c r="AO1284" s="10"/>
    </row>
    <row r="1285" spans="1:41">
      <c r="A1285" s="8">
        <v>1283</v>
      </c>
      <c r="B1285" s="8">
        <v>10762</v>
      </c>
      <c r="C1285" s="8" t="s">
        <v>1478</v>
      </c>
      <c r="D1285" s="8" t="s">
        <v>19</v>
      </c>
      <c r="E1285" s="2" t="str">
        <f>"1171.57"</f>
        <v>1171.57</v>
      </c>
      <c r="F1285" s="9" t="s">
        <v>9</v>
      </c>
      <c r="G1285" s="9">
        <v>2017</v>
      </c>
      <c r="H1285" s="10" t="str">
        <f>"1222.39"</f>
        <v>1222.39</v>
      </c>
      <c r="I1285" s="10"/>
      <c r="J1285" s="10"/>
      <c r="K1285" s="10"/>
      <c r="L1285" s="10"/>
      <c r="M1285" s="10"/>
      <c r="N1285" s="10"/>
      <c r="O1285" s="10"/>
      <c r="P1285" s="10"/>
      <c r="Q1285" s="10"/>
      <c r="R1285" s="10"/>
      <c r="S1285" s="10"/>
      <c r="T1285" s="10"/>
      <c r="U1285" s="10"/>
      <c r="V1285" s="10"/>
      <c r="W1285" s="10"/>
      <c r="X1285" s="10"/>
      <c r="Y1285" s="10"/>
      <c r="Z1285" s="10"/>
      <c r="AA1285" s="10"/>
      <c r="AB1285" s="10" t="str">
        <f>"1131.57"</f>
        <v>1131.57</v>
      </c>
      <c r="AC1285" s="10"/>
      <c r="AD1285" s="10"/>
      <c r="AE1285" s="10"/>
      <c r="AF1285" s="10"/>
      <c r="AG1285" s="10"/>
      <c r="AH1285" s="10"/>
      <c r="AI1285" s="10"/>
      <c r="AJ1285" s="10"/>
      <c r="AK1285" s="10"/>
      <c r="AL1285" s="10"/>
      <c r="AM1285" s="10"/>
      <c r="AN1285" s="10"/>
      <c r="AO1285" s="10"/>
    </row>
    <row r="1286" spans="1:41">
      <c r="A1286" s="8">
        <v>1284</v>
      </c>
      <c r="B1286" s="8">
        <v>10734</v>
      </c>
      <c r="C1286" s="8" t="s">
        <v>1479</v>
      </c>
      <c r="D1286" s="8" t="s">
        <v>19</v>
      </c>
      <c r="E1286" s="2" t="str">
        <f>"1206.04"</f>
        <v>1206.04</v>
      </c>
      <c r="F1286" s="9" t="s">
        <v>9</v>
      </c>
      <c r="G1286" s="9">
        <v>2017</v>
      </c>
      <c r="H1286" s="10" t="str">
        <f>"747.93"</f>
        <v>747.93</v>
      </c>
      <c r="I1286" s="10"/>
      <c r="J1286" s="10"/>
      <c r="K1286" s="10"/>
      <c r="L1286" s="10"/>
      <c r="M1286" s="10"/>
      <c r="N1286" s="10"/>
      <c r="O1286" s="10"/>
      <c r="P1286" s="10"/>
      <c r="Q1286" s="10"/>
      <c r="R1286" s="10"/>
      <c r="S1286" s="10"/>
      <c r="T1286" s="10"/>
      <c r="U1286" s="10"/>
      <c r="V1286" s="10"/>
      <c r="W1286" s="10"/>
      <c r="X1286" s="10"/>
      <c r="Y1286" s="10" t="str">
        <f>"1166.04"</f>
        <v>1166.04</v>
      </c>
      <c r="Z1286" s="10"/>
      <c r="AA1286" s="10"/>
      <c r="AB1286" s="10"/>
      <c r="AC1286" s="10"/>
      <c r="AD1286" s="10"/>
      <c r="AE1286" s="10"/>
      <c r="AF1286" s="10"/>
      <c r="AG1286" s="10"/>
      <c r="AH1286" s="10"/>
      <c r="AI1286" s="10"/>
      <c r="AJ1286" s="10"/>
      <c r="AK1286" s="10"/>
      <c r="AL1286" s="10"/>
      <c r="AM1286" s="10"/>
      <c r="AN1286" s="10"/>
      <c r="AO1286" s="10"/>
    </row>
    <row r="1287" spans="1:41">
      <c r="A1287" s="8">
        <v>1285</v>
      </c>
      <c r="B1287" s="8">
        <v>11180</v>
      </c>
      <c r="C1287" s="8" t="s">
        <v>1480</v>
      </c>
      <c r="D1287" s="8" t="s">
        <v>19</v>
      </c>
      <c r="E1287" s="2" t="str">
        <f>"1254.00"</f>
        <v>1254.00</v>
      </c>
      <c r="F1287" s="9" t="s">
        <v>9</v>
      </c>
      <c r="G1287" s="9">
        <v>2017</v>
      </c>
      <c r="H1287" s="10"/>
      <c r="I1287" s="10"/>
      <c r="J1287" s="10"/>
      <c r="K1287" s="10"/>
      <c r="L1287" s="10"/>
      <c r="M1287" s="10"/>
      <c r="N1287" s="10"/>
      <c r="O1287" s="10"/>
      <c r="P1287" s="10"/>
      <c r="Q1287" s="10"/>
      <c r="R1287" s="10"/>
      <c r="S1287" s="10"/>
      <c r="T1287" s="10"/>
      <c r="U1287" s="10"/>
      <c r="V1287" s="10"/>
      <c r="W1287" s="10"/>
      <c r="X1287" s="10"/>
      <c r="Y1287" s="10"/>
      <c r="Z1287" s="10"/>
      <c r="AA1287" s="10"/>
      <c r="AB1287" s="10" t="str">
        <f>"1214.00"</f>
        <v>1214.00</v>
      </c>
      <c r="AC1287" s="10"/>
      <c r="AD1287" s="10"/>
      <c r="AE1287" s="10"/>
      <c r="AF1287" s="10"/>
      <c r="AG1287" s="10"/>
      <c r="AH1287" s="10"/>
      <c r="AI1287" s="10"/>
      <c r="AJ1287" s="10"/>
      <c r="AK1287" s="10"/>
      <c r="AL1287" s="10"/>
      <c r="AM1287" s="10"/>
      <c r="AN1287" s="10"/>
      <c r="AO1287" s="10"/>
    </row>
    <row r="1288" spans="1:41">
      <c r="A1288" s="8">
        <v>1286</v>
      </c>
      <c r="B1288" s="8">
        <v>11179</v>
      </c>
      <c r="C1288" s="8" t="s">
        <v>1481</v>
      </c>
      <c r="D1288" s="8" t="s">
        <v>19</v>
      </c>
      <c r="E1288" s="2" t="str">
        <f>"1254.74"</f>
        <v>1254.74</v>
      </c>
      <c r="F1288" s="9" t="s">
        <v>9</v>
      </c>
      <c r="G1288" s="9">
        <v>2017</v>
      </c>
      <c r="H1288" s="10"/>
      <c r="I1288" s="10"/>
      <c r="J1288" s="10"/>
      <c r="K1288" s="10"/>
      <c r="L1288" s="10"/>
      <c r="M1288" s="10"/>
      <c r="N1288" s="10"/>
      <c r="O1288" s="10"/>
      <c r="P1288" s="10"/>
      <c r="Q1288" s="10"/>
      <c r="R1288" s="10"/>
      <c r="S1288" s="10"/>
      <c r="T1288" s="10"/>
      <c r="U1288" s="10"/>
      <c r="V1288" s="10"/>
      <c r="W1288" s="10"/>
      <c r="X1288" s="10"/>
      <c r="Y1288" s="10"/>
      <c r="Z1288" s="10"/>
      <c r="AA1288" s="10"/>
      <c r="AB1288" s="10" t="str">
        <f>"1214.74"</f>
        <v>1214.74</v>
      </c>
      <c r="AC1288" s="10"/>
      <c r="AD1288" s="10"/>
      <c r="AE1288" s="10"/>
      <c r="AF1288" s="10"/>
      <c r="AG1288" s="10"/>
      <c r="AH1288" s="10"/>
      <c r="AI1288" s="10"/>
      <c r="AJ1288" s="10"/>
      <c r="AK1288" s="10"/>
      <c r="AL1288" s="10"/>
      <c r="AM1288" s="10"/>
      <c r="AN1288" s="10"/>
      <c r="AO1288" s="10"/>
    </row>
    <row r="1289" spans="1:41">
      <c r="A1289" s="8">
        <v>1287</v>
      </c>
      <c r="B1289" s="8">
        <v>11144</v>
      </c>
      <c r="C1289" s="8" t="s">
        <v>1482</v>
      </c>
      <c r="D1289" s="8" t="s">
        <v>19</v>
      </c>
      <c r="E1289" s="2" t="str">
        <f>"1322.68"</f>
        <v>1322.68</v>
      </c>
      <c r="F1289" s="9" t="s">
        <v>9</v>
      </c>
      <c r="G1289" s="9">
        <v>2017</v>
      </c>
      <c r="H1289" s="10"/>
      <c r="I1289" s="10"/>
      <c r="J1289" s="10"/>
      <c r="K1289" s="10"/>
      <c r="L1289" s="10"/>
      <c r="M1289" s="10"/>
      <c r="N1289" s="10"/>
      <c r="O1289" s="10"/>
      <c r="P1289" s="10"/>
      <c r="Q1289" s="10"/>
      <c r="R1289" s="10"/>
      <c r="S1289" s="10"/>
      <c r="T1289" s="10"/>
      <c r="U1289" s="10"/>
      <c r="V1289" s="10"/>
      <c r="W1289" s="10"/>
      <c r="X1289" s="10"/>
      <c r="Y1289" s="10"/>
      <c r="Z1289" s="10"/>
      <c r="AA1289" s="10"/>
      <c r="AB1289" s="10" t="str">
        <f>"1282.68"</f>
        <v>1282.68</v>
      </c>
      <c r="AC1289" s="10"/>
      <c r="AD1289" s="10"/>
      <c r="AE1289" s="10"/>
      <c r="AF1289" s="10"/>
      <c r="AG1289" s="10"/>
      <c r="AH1289" s="10"/>
      <c r="AI1289" s="10"/>
      <c r="AJ1289" s="10"/>
      <c r="AK1289" s="10"/>
      <c r="AL1289" s="10"/>
      <c r="AM1289" s="10"/>
      <c r="AN1289" s="10"/>
      <c r="AO1289" s="10"/>
    </row>
    <row r="1290" spans="1:41">
      <c r="A1290" s="8">
        <v>1288</v>
      </c>
      <c r="B1290" s="8">
        <v>11187</v>
      </c>
      <c r="C1290" s="8" t="s">
        <v>1483</v>
      </c>
      <c r="D1290" s="8" t="s">
        <v>19</v>
      </c>
      <c r="E1290" s="2" t="str">
        <f>"1338.46"</f>
        <v>1338.46</v>
      </c>
      <c r="F1290" s="9" t="s">
        <v>9</v>
      </c>
      <c r="G1290" s="9">
        <v>2017</v>
      </c>
      <c r="H1290" s="10"/>
      <c r="I1290" s="10"/>
      <c r="J1290" s="10"/>
      <c r="K1290" s="10"/>
      <c r="L1290" s="10"/>
      <c r="M1290" s="10"/>
      <c r="N1290" s="10"/>
      <c r="O1290" s="10"/>
      <c r="P1290" s="10"/>
      <c r="Q1290" s="10"/>
      <c r="R1290" s="10"/>
      <c r="S1290" s="10"/>
      <c r="T1290" s="10"/>
      <c r="U1290" s="10"/>
      <c r="V1290" s="10"/>
      <c r="W1290" s="10"/>
      <c r="X1290" s="10"/>
      <c r="Y1290" s="10"/>
      <c r="Z1290" s="10"/>
      <c r="AA1290" s="10"/>
      <c r="AB1290" s="10" t="str">
        <f>"1298.46"</f>
        <v>1298.46</v>
      </c>
      <c r="AC1290" s="10"/>
      <c r="AD1290" s="10"/>
      <c r="AE1290" s="10"/>
      <c r="AF1290" s="10"/>
      <c r="AG1290" s="10"/>
      <c r="AH1290" s="10"/>
      <c r="AI1290" s="10"/>
      <c r="AJ1290" s="10"/>
      <c r="AK1290" s="10"/>
      <c r="AL1290" s="10"/>
      <c r="AM1290" s="10"/>
      <c r="AN1290" s="10"/>
      <c r="AO1290" s="10"/>
    </row>
    <row r="1291" spans="1:41">
      <c r="A1291" s="8">
        <v>1289</v>
      </c>
      <c r="B1291" s="8">
        <v>11194</v>
      </c>
      <c r="C1291" s="8" t="s">
        <v>1484</v>
      </c>
      <c r="D1291" s="8" t="s">
        <v>19</v>
      </c>
      <c r="E1291" s="2" t="str">
        <f>"1385.24"</f>
        <v>1385.24</v>
      </c>
      <c r="F1291" s="9" t="s">
        <v>9</v>
      </c>
      <c r="G1291" s="9">
        <v>2017</v>
      </c>
      <c r="H1291" s="10"/>
      <c r="I1291" s="10"/>
      <c r="J1291" s="10"/>
      <c r="K1291" s="10"/>
      <c r="L1291" s="10"/>
      <c r="M1291" s="10"/>
      <c r="N1291" s="10"/>
      <c r="O1291" s="10"/>
      <c r="P1291" s="10"/>
      <c r="Q1291" s="10"/>
      <c r="R1291" s="10"/>
      <c r="S1291" s="10"/>
      <c r="T1291" s="10"/>
      <c r="U1291" s="10"/>
      <c r="V1291" s="10"/>
      <c r="W1291" s="10"/>
      <c r="X1291" s="10"/>
      <c r="Y1291" s="10"/>
      <c r="Z1291" s="10"/>
      <c r="AA1291" s="10"/>
      <c r="AB1291" s="10" t="str">
        <f>"1345.24"</f>
        <v>1345.24</v>
      </c>
      <c r="AC1291" s="10"/>
      <c r="AD1291" s="10"/>
      <c r="AE1291" s="10"/>
      <c r="AF1291" s="10"/>
      <c r="AG1291" s="10"/>
      <c r="AH1291" s="10"/>
      <c r="AI1291" s="10"/>
      <c r="AJ1291" s="10"/>
      <c r="AK1291" s="10"/>
      <c r="AL1291" s="10"/>
      <c r="AM1291" s="10"/>
      <c r="AN1291" s="10"/>
      <c r="AO1291" s="10"/>
    </row>
    <row r="1292" spans="1:41">
      <c r="A1292" s="8">
        <v>1290</v>
      </c>
      <c r="B1292" s="8">
        <v>11197</v>
      </c>
      <c r="C1292" s="8" t="s">
        <v>1485</v>
      </c>
      <c r="D1292" s="8" t="s">
        <v>19</v>
      </c>
      <c r="E1292" s="2" t="str">
        <f>"1399.17"</f>
        <v>1399.17</v>
      </c>
      <c r="F1292" s="9" t="s">
        <v>9</v>
      </c>
      <c r="G1292" s="9">
        <v>2017</v>
      </c>
      <c r="H1292" s="10"/>
      <c r="I1292" s="10"/>
      <c r="J1292" s="10"/>
      <c r="K1292" s="10"/>
      <c r="L1292" s="10"/>
      <c r="M1292" s="10"/>
      <c r="N1292" s="10"/>
      <c r="O1292" s="10"/>
      <c r="P1292" s="10"/>
      <c r="Q1292" s="10"/>
      <c r="R1292" s="10"/>
      <c r="S1292" s="10"/>
      <c r="T1292" s="10"/>
      <c r="U1292" s="10"/>
      <c r="V1292" s="10"/>
      <c r="W1292" s="10"/>
      <c r="X1292" s="10"/>
      <c r="Y1292" s="10"/>
      <c r="Z1292" s="10"/>
      <c r="AA1292" s="10"/>
      <c r="AB1292" s="10" t="str">
        <f>"1359.17"</f>
        <v>1359.17</v>
      </c>
      <c r="AC1292" s="10"/>
      <c r="AD1292" s="10"/>
      <c r="AE1292" s="10"/>
      <c r="AF1292" s="10"/>
      <c r="AG1292" s="10"/>
      <c r="AH1292" s="10"/>
      <c r="AI1292" s="10"/>
      <c r="AJ1292" s="10"/>
      <c r="AK1292" s="10"/>
      <c r="AL1292" s="10"/>
      <c r="AM1292" s="10"/>
      <c r="AN1292" s="10"/>
      <c r="AO1292" s="10"/>
    </row>
    <row r="1293" spans="1:41">
      <c r="A1293" s="8">
        <v>1291</v>
      </c>
      <c r="B1293" s="8">
        <v>3991</v>
      </c>
      <c r="C1293" s="8" t="s">
        <v>1486</v>
      </c>
      <c r="D1293" s="8" t="s">
        <v>63</v>
      </c>
      <c r="E1293" s="2" t="str">
        <f>"1402.48"</f>
        <v>1402.48</v>
      </c>
      <c r="F1293" s="9" t="s">
        <v>11</v>
      </c>
      <c r="G1293" s="9">
        <v>2017</v>
      </c>
      <c r="H1293" s="10" t="str">
        <f>"1362.48"</f>
        <v>1362.48</v>
      </c>
      <c r="I1293" s="10"/>
      <c r="J1293" s="10"/>
      <c r="K1293" s="10"/>
      <c r="L1293" s="10"/>
      <c r="M1293" s="10"/>
      <c r="N1293" s="10"/>
      <c r="O1293" s="10"/>
      <c r="P1293" s="10"/>
      <c r="Q1293" s="10"/>
      <c r="R1293" s="10"/>
      <c r="S1293" s="10"/>
      <c r="T1293" s="10"/>
      <c r="U1293" s="10"/>
      <c r="V1293" s="10"/>
      <c r="W1293" s="10"/>
      <c r="X1293" s="10"/>
      <c r="Y1293" s="10"/>
      <c r="Z1293" s="10"/>
      <c r="AA1293" s="10"/>
      <c r="AB1293" s="10"/>
      <c r="AC1293" s="10"/>
      <c r="AD1293" s="10"/>
      <c r="AE1293" s="10"/>
      <c r="AF1293" s="10"/>
      <c r="AG1293" s="10"/>
      <c r="AH1293" s="10"/>
      <c r="AI1293" s="10"/>
      <c r="AJ1293" s="10"/>
      <c r="AK1293" s="10"/>
      <c r="AL1293" s="10"/>
      <c r="AM1293" s="10"/>
      <c r="AN1293" s="10"/>
      <c r="AO1293" s="10"/>
    </row>
    <row r="1294" spans="1:41">
      <c r="A1294" s="8">
        <v>1292</v>
      </c>
      <c r="B1294" s="8">
        <v>11186</v>
      </c>
      <c r="C1294" s="8" t="s">
        <v>1487</v>
      </c>
      <c r="D1294" s="8" t="s">
        <v>19</v>
      </c>
      <c r="E1294" s="2" t="str">
        <f>"1441.36"</f>
        <v>1441.36</v>
      </c>
      <c r="F1294" s="9"/>
      <c r="G1294" s="9">
        <v>2017</v>
      </c>
      <c r="H1294" s="10"/>
      <c r="I1294" s="10"/>
      <c r="J1294" s="10"/>
      <c r="K1294" s="10"/>
      <c r="L1294" s="10"/>
      <c r="M1294" s="10"/>
      <c r="N1294" s="10"/>
      <c r="O1294" s="10"/>
      <c r="P1294" s="10"/>
      <c r="Q1294" s="10"/>
      <c r="R1294" s="10"/>
      <c r="S1294" s="10"/>
      <c r="T1294" s="10"/>
      <c r="U1294" s="10"/>
      <c r="V1294" s="10"/>
      <c r="W1294" s="10"/>
      <c r="X1294" s="10"/>
      <c r="Y1294" s="10"/>
      <c r="Z1294" s="10"/>
      <c r="AA1294" s="10"/>
      <c r="AB1294" s="10" t="str">
        <f>"1723.58"</f>
        <v>1723.58</v>
      </c>
      <c r="AC1294" s="10"/>
      <c r="AD1294" s="10"/>
      <c r="AE1294" s="10"/>
      <c r="AF1294" s="10"/>
      <c r="AG1294" s="10"/>
      <c r="AH1294" s="10"/>
      <c r="AI1294" s="10"/>
      <c r="AJ1294" s="10"/>
      <c r="AK1294" s="10"/>
      <c r="AL1294" s="10"/>
      <c r="AM1294" s="10" t="str">
        <f>"1159.14"</f>
        <v>1159.14</v>
      </c>
      <c r="AN1294" s="10"/>
      <c r="AO1294" s="10"/>
    </row>
    <row r="1295" spans="1:41">
      <c r="A1295" s="8">
        <v>1293</v>
      </c>
      <c r="B1295" s="8">
        <v>11198</v>
      </c>
      <c r="C1295" s="8" t="s">
        <v>1488</v>
      </c>
      <c r="D1295" s="8" t="s">
        <v>19</v>
      </c>
      <c r="E1295" s="2" t="str">
        <f>"1484.56"</f>
        <v>1484.56</v>
      </c>
      <c r="F1295" s="9" t="s">
        <v>9</v>
      </c>
      <c r="G1295" s="9">
        <v>2017</v>
      </c>
      <c r="H1295" s="10"/>
      <c r="I1295" s="10"/>
      <c r="J1295" s="10"/>
      <c r="K1295" s="10"/>
      <c r="L1295" s="10"/>
      <c r="M1295" s="10"/>
      <c r="N1295" s="10"/>
      <c r="O1295" s="10"/>
      <c r="P1295" s="10"/>
      <c r="Q1295" s="10"/>
      <c r="R1295" s="10"/>
      <c r="S1295" s="10"/>
      <c r="T1295" s="10"/>
      <c r="U1295" s="10"/>
      <c r="V1295" s="10"/>
      <c r="W1295" s="10"/>
      <c r="X1295" s="10"/>
      <c r="Y1295" s="10"/>
      <c r="Z1295" s="10"/>
      <c r="AA1295" s="10"/>
      <c r="AB1295" s="10" t="str">
        <f>"1444.56"</f>
        <v>1444.56</v>
      </c>
      <c r="AC1295" s="10"/>
      <c r="AD1295" s="10"/>
      <c r="AE1295" s="10"/>
      <c r="AF1295" s="10"/>
      <c r="AG1295" s="10"/>
      <c r="AH1295" s="10"/>
      <c r="AI1295" s="10"/>
      <c r="AJ1295" s="10"/>
      <c r="AK1295" s="10"/>
      <c r="AL1295" s="10"/>
      <c r="AM1295" s="10"/>
      <c r="AN1295" s="10"/>
      <c r="AO1295" s="10"/>
    </row>
    <row r="1296" spans="1:41">
      <c r="A1296" s="8">
        <v>1294</v>
      </c>
      <c r="B1296" s="8">
        <v>11322</v>
      </c>
      <c r="C1296" s="8" t="s">
        <v>1489</v>
      </c>
      <c r="D1296" s="8" t="s">
        <v>50</v>
      </c>
      <c r="E1296" s="2" t="str">
        <f>"1591.34"</f>
        <v>1591.34</v>
      </c>
      <c r="F1296" s="9" t="s">
        <v>9</v>
      </c>
      <c r="G1296" s="9">
        <v>2017</v>
      </c>
      <c r="H1296" s="10"/>
      <c r="I1296" s="10"/>
      <c r="J1296" s="10"/>
      <c r="K1296" s="10"/>
      <c r="L1296" s="10"/>
      <c r="M1296" s="10"/>
      <c r="N1296" s="10"/>
      <c r="O1296" s="10"/>
      <c r="P1296" s="10"/>
      <c r="Q1296" s="10"/>
      <c r="R1296" s="10"/>
      <c r="S1296" s="10"/>
      <c r="T1296" s="10"/>
      <c r="U1296" s="10" t="str">
        <f>"1551.34"</f>
        <v>1551.34</v>
      </c>
      <c r="V1296" s="10"/>
      <c r="W1296" s="10"/>
      <c r="X1296" s="10"/>
      <c r="Y1296" s="10"/>
      <c r="Z1296" s="10"/>
      <c r="AA1296" s="10"/>
      <c r="AB1296" s="10"/>
      <c r="AC1296" s="10"/>
      <c r="AD1296" s="10"/>
      <c r="AE1296" s="10"/>
      <c r="AF1296" s="10"/>
      <c r="AG1296" s="10"/>
      <c r="AH1296" s="10"/>
      <c r="AI1296" s="10"/>
      <c r="AJ1296" s="10"/>
      <c r="AK1296" s="10"/>
      <c r="AL1296" s="10"/>
      <c r="AM1296" s="10"/>
      <c r="AN1296" s="10"/>
      <c r="AO1296" s="10"/>
    </row>
  </sheetData>
  <sheetProtection password="8FA1" sheet="1" objects="1" scenarios="1" sort="0" autoFilter="0"/>
  <autoFilter ref="A2:AO1296"/>
  <phoneticPr fontId="18"/>
  <pageMargins left="0.7" right="0.7" top="0.75" bottom="0.75" header="0.3" footer="0.3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男子ＧＳ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韮澤 新太郎</dc:creator>
  <cp:lastModifiedBy>NewSAT4</cp:lastModifiedBy>
  <cp:lastPrinted>2017-07-20T01:48:39Z</cp:lastPrinted>
  <dcterms:created xsi:type="dcterms:W3CDTF">2017-07-08T00:29:35Z</dcterms:created>
  <dcterms:modified xsi:type="dcterms:W3CDTF">2017-07-20T01:50:33Z</dcterms:modified>
</cp:coreProperties>
</file>